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291" documentId="8_{12B17F93-D2BF-4888-95FE-745BCF47361D}" xr6:coauthVersionLast="40" xr6:coauthVersionMax="40" xr10:uidLastSave="{CA2BF09C-AFD7-4A5F-8B16-4DBF080B6D9B}"/>
  <bookViews>
    <workbookView xWindow="-108" yWindow="-108" windowWidth="23256" windowHeight="12576" tabRatio="853" xr2:uid="{00000000-000D-0000-FFFF-FFFF00000000}"/>
  </bookViews>
  <sheets>
    <sheet name="Eingabe Stundensatz" sheetId="47" r:id="rId1"/>
    <sheet name="Projektannahmen" sheetId="45" r:id="rId2"/>
    <sheet name="Leistungsumfang" sheetId="25" r:id="rId3"/>
    <sheet name="Terminplan" sheetId="31" r:id="rId4"/>
    <sheet name="Projektklassenfaktor" sheetId="27" r:id="rId5"/>
    <sheet name="Honorarberechnung" sheetId="36" r:id="rId6"/>
    <sheet name="Personaleinsatzplan" sheetId="42" r:id="rId7"/>
    <sheet name="Plausibilitätsprüfung" sheetId="41" r:id="rId8"/>
    <sheet name="LV" sheetId="46" r:id="rId9"/>
  </sheets>
  <definedNames>
    <definedName name="_ftn1" localSheetId="3">Terminplan!#REF!</definedName>
    <definedName name="_ftnref1" localSheetId="3">Terminplan!#REF!</definedName>
    <definedName name="_xlnm.Print_Area" localSheetId="5">Honorarberechnung!$A$1:$L$56</definedName>
    <definedName name="_xlnm.Print_Area" localSheetId="2">Leistungsumfang!$A$1:$I$37</definedName>
    <definedName name="_xlnm.Print_Area" localSheetId="6">Personaleinsatzplan!$A$1:$W$90</definedName>
    <definedName name="_xlnm.Print_Area" localSheetId="7">Plausibilitätsprüfung!$A$1:$K$72</definedName>
    <definedName name="_xlnm.Print_Area" localSheetId="4">Projektklassenfaktor!$A:$H</definedName>
    <definedName name="_xlnm.Print_Area" localSheetId="3">Terminplan!$A$1:$T$14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46" l="1"/>
  <c r="D3" i="46"/>
  <c r="D4" i="41"/>
  <c r="AT15" i="42" l="1"/>
  <c r="AO13" i="42"/>
  <c r="AO12" i="42"/>
  <c r="AI12" i="42"/>
  <c r="AI13" i="42" s="1"/>
  <c r="AC12" i="42"/>
  <c r="AC13" i="42" s="1"/>
  <c r="AC15" i="42" l="1"/>
  <c r="AC16" i="42" s="1"/>
  <c r="AI15" i="42"/>
  <c r="AI16" i="42" s="1"/>
  <c r="AO15" i="42"/>
  <c r="AO16" i="42" s="1"/>
  <c r="E15" i="42"/>
  <c r="U16" i="42" s="1"/>
  <c r="E12" i="42"/>
  <c r="U13" i="42" s="1"/>
  <c r="E9" i="42"/>
  <c r="U10" i="42" s="1"/>
  <c r="F37" i="25"/>
  <c r="D4" i="25"/>
  <c r="D3" i="25"/>
  <c r="B8" i="45"/>
  <c r="AO18" i="42" l="1"/>
  <c r="AO21" i="42" s="1"/>
  <c r="AO19" i="42"/>
  <c r="AI18" i="42"/>
  <c r="AI21" i="42" s="1"/>
  <c r="AI19" i="42"/>
  <c r="AC18" i="42"/>
  <c r="AC21" i="42" s="1"/>
  <c r="AC19" i="42"/>
  <c r="U19" i="42"/>
  <c r="E44" i="36"/>
  <c r="F44" i="36"/>
  <c r="AU12" i="42" l="1"/>
  <c r="B5" i="47"/>
  <c r="D12" i="42"/>
  <c r="U14" i="42" s="1"/>
  <c r="AU11" i="42"/>
  <c r="D15" i="42"/>
  <c r="U17" i="42" s="1"/>
  <c r="B4" i="47"/>
  <c r="AU13" i="42"/>
  <c r="B6" i="47"/>
  <c r="D9" i="42"/>
  <c r="U11" i="42" s="1"/>
  <c r="F18" i="41"/>
  <c r="F27" i="41"/>
  <c r="F37" i="41"/>
  <c r="F47" i="41"/>
  <c r="F55" i="41"/>
  <c r="K66" i="41"/>
  <c r="F10" i="42"/>
  <c r="G10" i="42"/>
  <c r="G11" i="42" s="1"/>
  <c r="H10" i="42"/>
  <c r="I10" i="42"/>
  <c r="J10" i="42"/>
  <c r="K10" i="42"/>
  <c r="K11" i="42" s="1"/>
  <c r="L10" i="42"/>
  <c r="L11" i="42" s="1"/>
  <c r="M10" i="42"/>
  <c r="N10" i="42"/>
  <c r="O10" i="42"/>
  <c r="O11" i="42" s="1"/>
  <c r="P10" i="42"/>
  <c r="Q10" i="42"/>
  <c r="R10" i="42"/>
  <c r="S10" i="42"/>
  <c r="S11" i="42" s="1"/>
  <c r="T10" i="42"/>
  <c r="T11" i="42" s="1"/>
  <c r="V10" i="42"/>
  <c r="F13" i="42"/>
  <c r="F14" i="42" s="1"/>
  <c r="G13" i="42"/>
  <c r="G14" i="42" s="1"/>
  <c r="H13" i="42"/>
  <c r="H14" i="42" s="1"/>
  <c r="I13" i="42"/>
  <c r="J13" i="42"/>
  <c r="J14" i="42" s="1"/>
  <c r="K13" i="42"/>
  <c r="K14" i="42" s="1"/>
  <c r="L13" i="42"/>
  <c r="L14" i="42" s="1"/>
  <c r="M13" i="42"/>
  <c r="M14" i="42" s="1"/>
  <c r="N13" i="42"/>
  <c r="N14" i="42" s="1"/>
  <c r="O13" i="42"/>
  <c r="O14" i="42" s="1"/>
  <c r="P13" i="42"/>
  <c r="P14" i="42" s="1"/>
  <c r="Q13" i="42"/>
  <c r="Q14" i="42" s="1"/>
  <c r="R13" i="42"/>
  <c r="R14" i="42" s="1"/>
  <c r="S13" i="42"/>
  <c r="S14" i="42" s="1"/>
  <c r="T13" i="42"/>
  <c r="T14" i="42" s="1"/>
  <c r="V13" i="42"/>
  <c r="V14" i="42" s="1"/>
  <c r="F16" i="42"/>
  <c r="G16" i="42"/>
  <c r="H16" i="42"/>
  <c r="I16" i="42"/>
  <c r="J16" i="42"/>
  <c r="K16" i="42"/>
  <c r="K17" i="42" s="1"/>
  <c r="L16" i="42"/>
  <c r="M16" i="42"/>
  <c r="N16" i="42"/>
  <c r="O16" i="42"/>
  <c r="P16" i="42"/>
  <c r="Q16" i="42"/>
  <c r="R16" i="42"/>
  <c r="R17" i="42" s="1"/>
  <c r="S16" i="42"/>
  <c r="S17" i="42" s="1"/>
  <c r="T16" i="42"/>
  <c r="V16" i="42"/>
  <c r="D4" i="36"/>
  <c r="E4" i="42" s="1"/>
  <c r="D10" i="36"/>
  <c r="D11" i="36"/>
  <c r="J11" i="36"/>
  <c r="H19" i="36"/>
  <c r="G20" i="41" s="1"/>
  <c r="H20" i="36"/>
  <c r="G41" i="41" s="1"/>
  <c r="H21" i="36"/>
  <c r="H22" i="36"/>
  <c r="H23" i="36"/>
  <c r="G21" i="41" s="1"/>
  <c r="H24" i="36"/>
  <c r="G32" i="41" s="1"/>
  <c r="H25" i="36"/>
  <c r="G42" i="41"/>
  <c r="H26" i="36"/>
  <c r="G50" i="41" s="1"/>
  <c r="H27" i="36"/>
  <c r="G58" i="41" s="1"/>
  <c r="G29" i="36"/>
  <c r="J29" i="36"/>
  <c r="G30" i="36"/>
  <c r="E33" i="36"/>
  <c r="E34" i="36"/>
  <c r="E35" i="36"/>
  <c r="E36" i="36"/>
  <c r="E37" i="36"/>
  <c r="G39" i="36"/>
  <c r="J39" i="36"/>
  <c r="E43" i="36"/>
  <c r="F43" i="36"/>
  <c r="D4" i="27"/>
  <c r="C12" i="27"/>
  <c r="D12" i="27"/>
  <c r="E12" i="27"/>
  <c r="C20" i="27"/>
  <c r="D20" i="27"/>
  <c r="E20" i="27"/>
  <c r="C28" i="27"/>
  <c r="D28" i="27"/>
  <c r="E28" i="27"/>
  <c r="C33" i="27"/>
  <c r="D33" i="27"/>
  <c r="E33" i="27"/>
  <c r="D3" i="36"/>
  <c r="E3" i="42" s="1"/>
  <c r="D14" i="25"/>
  <c r="D21" i="25"/>
  <c r="D27" i="25"/>
  <c r="D32" i="25"/>
  <c r="N17" i="42" l="1"/>
  <c r="F17" i="42"/>
  <c r="V19" i="42"/>
  <c r="J55" i="41" s="1"/>
  <c r="M17" i="42"/>
  <c r="J11" i="42"/>
  <c r="F11" i="42"/>
  <c r="H17" i="42"/>
  <c r="L17" i="42"/>
  <c r="V11" i="42"/>
  <c r="M11" i="42"/>
  <c r="AU15" i="42"/>
  <c r="B3" i="47" s="1"/>
  <c r="D7" i="36" s="1"/>
  <c r="I19" i="36" s="1"/>
  <c r="Q17" i="42"/>
  <c r="I17" i="42"/>
  <c r="P17" i="42"/>
  <c r="Q11" i="42"/>
  <c r="I11" i="42"/>
  <c r="O17" i="42"/>
  <c r="G17" i="42"/>
  <c r="P11" i="42"/>
  <c r="H11" i="42"/>
  <c r="T19" i="42"/>
  <c r="G19" i="42"/>
  <c r="J19" i="42"/>
  <c r="N19" i="42"/>
  <c r="F19" i="42"/>
  <c r="J18" i="41" s="1"/>
  <c r="M19" i="42"/>
  <c r="D32" i="41"/>
  <c r="D20" i="41"/>
  <c r="J17" i="42"/>
  <c r="K25" i="41"/>
  <c r="R19" i="42"/>
  <c r="N11" i="42"/>
  <c r="K19" i="42"/>
  <c r="Q19" i="42"/>
  <c r="V17" i="42"/>
  <c r="K62" i="41" s="1"/>
  <c r="H19" i="42"/>
  <c r="D38" i="27"/>
  <c r="D40" i="27" s="1"/>
  <c r="D8" i="36" s="1"/>
  <c r="H44" i="36" s="1"/>
  <c r="I44" i="36" s="1"/>
  <c r="I24" i="36"/>
  <c r="I19" i="42"/>
  <c r="O19" i="42"/>
  <c r="I25" i="36"/>
  <c r="D42" i="41"/>
  <c r="D58" i="41"/>
  <c r="D41" i="41"/>
  <c r="P19" i="42"/>
  <c r="L19" i="42"/>
  <c r="G22" i="41"/>
  <c r="S19" i="42"/>
  <c r="D3" i="41"/>
  <c r="T17" i="42"/>
  <c r="R11" i="42"/>
  <c r="I20" i="36"/>
  <c r="I27" i="36"/>
  <c r="I14" i="42"/>
  <c r="G57" i="41"/>
  <c r="K45" i="41" l="1"/>
  <c r="K64" i="41" s="1"/>
  <c r="K69" i="41" s="1"/>
  <c r="I26" i="36"/>
  <c r="I22" i="36"/>
  <c r="K35" i="41"/>
  <c r="I21" i="36"/>
  <c r="I23" i="36"/>
  <c r="K53" i="41"/>
  <c r="J27" i="41"/>
  <c r="J37" i="41"/>
  <c r="H43" i="36"/>
  <c r="I43" i="36" s="1"/>
  <c r="H34" i="36"/>
  <c r="G30" i="41" s="1"/>
  <c r="H36" i="36"/>
  <c r="G39" i="41" s="1"/>
  <c r="H37" i="36"/>
  <c r="I37" i="36" s="1"/>
  <c r="H33" i="36"/>
  <c r="W14" i="42"/>
  <c r="W17" i="42"/>
  <c r="W11" i="42"/>
  <c r="J47" i="41"/>
  <c r="H35" i="36"/>
  <c r="G31" i="41" s="1"/>
  <c r="G25" i="41"/>
  <c r="E21" i="41"/>
  <c r="I20" i="41"/>
  <c r="D57" i="41"/>
  <c r="G59" i="41"/>
  <c r="E57" i="41" s="1"/>
  <c r="E20" i="41"/>
  <c r="K23" i="41"/>
  <c r="W21" i="42" l="1"/>
  <c r="W27" i="42" s="1"/>
  <c r="W31" i="42" s="1"/>
  <c r="W33" i="42" s="1"/>
  <c r="W35" i="42" s="1"/>
  <c r="E22" i="41"/>
  <c r="H48" i="36"/>
  <c r="G49" i="41"/>
  <c r="D49" i="41" s="1"/>
  <c r="I34" i="36"/>
  <c r="G40" i="41"/>
  <c r="D40" i="41" s="1"/>
  <c r="I36" i="36"/>
  <c r="I33" i="36"/>
  <c r="G29" i="41"/>
  <c r="D29" i="41" s="1"/>
  <c r="I35" i="36"/>
  <c r="D39" i="41"/>
  <c r="D30" i="41"/>
  <c r="I57" i="41"/>
  <c r="G62" i="41"/>
  <c r="K60" i="41"/>
  <c r="E58" i="41"/>
  <c r="E59" i="41" s="1"/>
  <c r="D31" i="41"/>
  <c r="G51" i="41" l="1"/>
  <c r="E49" i="41" s="1"/>
  <c r="G43" i="41"/>
  <c r="E39" i="41" s="1"/>
  <c r="I49" i="36"/>
  <c r="I52" i="36" s="1"/>
  <c r="J35" i="36" s="1"/>
  <c r="G33" i="41"/>
  <c r="E30" i="41" s="1"/>
  <c r="G53" i="41"/>
  <c r="E50" i="41"/>
  <c r="I49" i="41"/>
  <c r="G45" i="41" l="1"/>
  <c r="E42" i="41"/>
  <c r="E40" i="41"/>
  <c r="E51" i="41"/>
  <c r="K43" i="41"/>
  <c r="E41" i="41"/>
  <c r="E43" i="41" s="1"/>
  <c r="I39" i="41"/>
  <c r="J44" i="36"/>
  <c r="J27" i="36"/>
  <c r="J33" i="36"/>
  <c r="J26" i="36"/>
  <c r="J20" i="36"/>
  <c r="J50" i="36"/>
  <c r="J24" i="36"/>
  <c r="J22" i="36"/>
  <c r="J43" i="36"/>
  <c r="J19" i="36"/>
  <c r="J36" i="36"/>
  <c r="I54" i="36"/>
  <c r="I55" i="36" s="1"/>
  <c r="J23" i="36"/>
  <c r="J34" i="36"/>
  <c r="J21" i="36"/>
  <c r="J37" i="36"/>
  <c r="K51" i="41"/>
  <c r="J25" i="36"/>
  <c r="E29" i="41"/>
  <c r="E31" i="41"/>
  <c r="K33" i="41"/>
  <c r="G35" i="41"/>
  <c r="G64" i="41" s="1"/>
  <c r="E32" i="41"/>
  <c r="I29" i="41"/>
  <c r="K68" i="41" l="1"/>
  <c r="K70" i="41" s="1"/>
  <c r="E33" i="41"/>
  <c r="J52" i="36"/>
</calcChain>
</file>

<file path=xl/sharedStrings.xml><?xml version="1.0" encoding="utf-8"?>
<sst xmlns="http://schemas.openxmlformats.org/spreadsheetml/2006/main" count="587" uniqueCount="320">
  <si>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</si>
  <si>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</si>
  <si>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</si>
  <si>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</si>
  <si>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</si>
  <si>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</si>
  <si>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</si>
  <si>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</si>
  <si>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</si>
  <si>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</si>
  <si>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</si>
  <si>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</si>
  <si>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</si>
  <si>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</si>
  <si>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</si>
  <si>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</si>
  <si>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</si>
  <si>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</si>
  <si>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</si>
  <si>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</si>
  <si>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</si>
  <si>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</si>
  <si>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Komplexität der Planungsleistung</t>
  </si>
  <si>
    <t xml:space="preserve">Komplexität der Planungsleistung 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</si>
  <si>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</si>
  <si>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</si>
  <si>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</si>
  <si>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</si>
  <si>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Koordinationsbedarf (anderer an der Planung fachlich Beteiligter)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</si>
  <si>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</si>
  <si>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</si>
  <si>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</si>
  <si>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</si>
  <si>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</si>
  <si>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Projektrisiken der Planung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</si>
  <si>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</si>
  <si>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</si>
  <si>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</si>
  <si>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</si>
  <si>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</si>
  <si>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</si>
  <si>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</si>
  <si>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</si>
  <si>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</si>
  <si>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</si>
  <si>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</si>
  <si>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</si>
  <si>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Anforderungen an die Terminvorgaben</t>
  </si>
  <si>
    <t>Zeitausmaß für Planung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</si>
  <si>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</si>
  <si>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</si>
  <si>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</si>
  <si>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</si>
  <si>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</si>
  <si>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</si>
  <si>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</si>
  <si>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Anforderungen an die Kostenvorgaben</t>
  </si>
  <si>
    <t>Kostendruck</t>
  </si>
  <si>
    <t>zB. Kostenrahmen (extrem eng, eng, standard), Folgen der Kostenüberschreitung, Optimierungsmöglichkeiten, Reserven</t>
  </si>
  <si>
    <t>Komplexität der Kostenplanung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</si>
  <si>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</si>
  <si>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</si>
  <si>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</si>
  <si>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</si>
  <si>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</si>
  <si>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</si>
  <si>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</si>
  <si>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Abschätzung der Planungskosten</t>
  </si>
  <si>
    <t>Aufwandsabhängige Kostenschätzung</t>
  </si>
  <si>
    <t>Bauwerksgrößenabhängige Kosten</t>
  </si>
  <si>
    <t>Projektdauerabhängige Kosten</t>
  </si>
  <si>
    <t>Summe zivilrechtl. Preis</t>
  </si>
  <si>
    <t>€/h  (inkl. aller Zuschläge)</t>
  </si>
  <si>
    <t>siehe eigenes Ermittlungsblatt</t>
  </si>
  <si>
    <t>Sonstige Teilleistungen</t>
  </si>
  <si>
    <t>Erläuterung</t>
  </si>
  <si>
    <t>Summe Angebotspreis</t>
  </si>
  <si>
    <t>SUMME Stunden</t>
  </si>
  <si>
    <t>SUMME Kosten</t>
  </si>
  <si>
    <t>Erläuterungen</t>
  </si>
  <si>
    <t>Punkte</t>
  </si>
  <si>
    <t>Fremdleistungen</t>
  </si>
  <si>
    <t>Phase 3: Ausführungsvorbereitung</t>
  </si>
  <si>
    <t>Phase 4: Ausführung</t>
  </si>
  <si>
    <t>1.9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</si>
  <si>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</si>
  <si>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</si>
  <si>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</si>
  <si>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</si>
  <si>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</si>
  <si>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r>
      <t>Hinweis zur tägl. Arbeitszeit:</t>
    </r>
    <r>
      <rPr>
        <i/>
        <sz val="11"/>
        <rFont val="Arial"/>
        <family val="2"/>
      </rPr>
      <t xml:space="preserve">   Bei Üstd.pauschale i.a. &gt; 8h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</si>
  <si>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 und nach Aufwand abzurechnen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</si>
  <si>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</t>
    </r>
  </si>
  <si>
    <r>
      <t>Hinweis zu Aufwandswerten:</t>
    </r>
    <r>
      <rPr>
        <i/>
        <sz val="11"/>
        <rFont val="Arial"/>
        <family val="2"/>
      </rPr>
      <t xml:space="preserve"> Vergleichswerte (Bandbreiten) befinden sich im Leitfaden Band 2</t>
    </r>
  </si>
  <si>
    <r>
      <t>Hinweis zu Anteil Angebotspreis:</t>
    </r>
    <r>
      <rPr>
        <i/>
        <sz val="11"/>
        <rFont val="Arial"/>
        <family val="2"/>
      </rPr>
      <t xml:space="preserve"> Vergleichswerte finden sich im Leitfaden Band 2</t>
    </r>
  </si>
  <si>
    <t>Phase 1: Projektvorbereitung</t>
  </si>
  <si>
    <t>Phase 2: Planung</t>
  </si>
  <si>
    <t>ERGEBNISSE</t>
  </si>
  <si>
    <t>20% MWSt.</t>
  </si>
  <si>
    <t>Projektklassenfaktor (PKF)</t>
  </si>
  <si>
    <t>Herstellkosten</t>
  </si>
  <si>
    <t>B</t>
  </si>
  <si>
    <t>Grundleistung</t>
  </si>
  <si>
    <t>optionale Leistung</t>
  </si>
  <si>
    <t>Leistungs-umfang [%]</t>
  </si>
  <si>
    <t>Dauer [Mo]</t>
  </si>
  <si>
    <t>Dauer d. Phase [Mo]</t>
  </si>
  <si>
    <t>[h/Mo]</t>
  </si>
  <si>
    <t>[%]</t>
  </si>
  <si>
    <t>[Mo]</t>
  </si>
  <si>
    <t>[h]</t>
  </si>
  <si>
    <t>[€]</t>
  </si>
  <si>
    <t>Leistungs-umfang Grund-leistung</t>
  </si>
  <si>
    <t>Kosten für die Teilleistung</t>
  </si>
  <si>
    <t>Stunden optionale Leistung (inkl.PKF)</t>
  </si>
  <si>
    <t>Ø tägl. Arbeitszeit [h/AT]</t>
  </si>
  <si>
    <t>h/AT</t>
  </si>
  <si>
    <t>Dauer Grund-leistung</t>
  </si>
  <si>
    <t>Anteil an Anbots-preis</t>
  </si>
  <si>
    <t>Beschreibung Leistungsumfang</t>
  </si>
  <si>
    <t>[MaTage]</t>
  </si>
  <si>
    <t>A</t>
  </si>
  <si>
    <t>D=C*Std.satz</t>
  </si>
  <si>
    <t>C=A*[h/AT]+B</t>
  </si>
  <si>
    <t>E</t>
  </si>
  <si>
    <t>Summe Stunden 
(inkl.PKF)</t>
  </si>
  <si>
    <t>F</t>
  </si>
  <si>
    <t>Stunden / Mo (für 100% Grundleistung, ohne PKF)</t>
  </si>
  <si>
    <t>Summe Stunden (inkl.PKF)</t>
  </si>
  <si>
    <t>J</t>
  </si>
  <si>
    <t>K</t>
  </si>
  <si>
    <t>L</t>
  </si>
  <si>
    <t xml:space="preserve">Aufwandswert (für 100% Grundleistung, ohne PKF) </t>
  </si>
  <si>
    <t>G</t>
  </si>
  <si>
    <t>I=H*Std.satz</t>
  </si>
  <si>
    <t>M</t>
  </si>
  <si>
    <t>N=J*K*L*PKF+M</t>
  </si>
  <si>
    <t>O=N*Std.satz</t>
  </si>
  <si>
    <t>geschätzter Aufwandswert 
(für anteilige Grundleistung, inkl.PKF)</t>
  </si>
  <si>
    <t>hinterei-nander</t>
  </si>
  <si>
    <t>Projekt-vorbereitung</t>
  </si>
  <si>
    <t>Planung</t>
  </si>
  <si>
    <t>Ausführung</t>
  </si>
  <si>
    <t>Projekt-abschluss</t>
  </si>
  <si>
    <t>Zeitschiene in  [Mo]</t>
  </si>
  <si>
    <t>Gesamtstd.</t>
  </si>
  <si>
    <t>Summe Kosten</t>
  </si>
  <si>
    <t>Monate</t>
  </si>
  <si>
    <t>Ausführungsvorbereitung</t>
  </si>
  <si>
    <t>PLAUSIBILITÄTSPRÜFUNG - STUNDENVERTEILUNG</t>
  </si>
  <si>
    <t>Gesamtdauer der Leistung</t>
  </si>
  <si>
    <t>Mo</t>
  </si>
  <si>
    <t xml:space="preserve">A </t>
  </si>
  <si>
    <t>C</t>
  </si>
  <si>
    <t>D</t>
  </si>
  <si>
    <t>Dauer der Phase</t>
  </si>
  <si>
    <t>Zwischensumme</t>
  </si>
  <si>
    <t>Phase 5: Projektabschluss</t>
  </si>
  <si>
    <t>Funktion</t>
  </si>
  <si>
    <t>KV</t>
  </si>
  <si>
    <t>Stunden-satz Gruppe [€/h]</t>
  </si>
  <si>
    <t>Ausführungsvorber.</t>
  </si>
  <si>
    <t>Projektabschl.</t>
  </si>
  <si>
    <t>Name</t>
  </si>
  <si>
    <t>Summe</t>
  </si>
  <si>
    <t xml:space="preserve">  </t>
  </si>
  <si>
    <t>Kosten je Monat</t>
  </si>
  <si>
    <t>Summe Stunden / Monat</t>
  </si>
  <si>
    <t>+ Zuschlag / Nachlass [%]</t>
  </si>
  <si>
    <t>+ 20% MWSt.</t>
  </si>
  <si>
    <t>h</t>
  </si>
  <si>
    <t>∆</t>
  </si>
  <si>
    <t>Differenz</t>
  </si>
  <si>
    <t>Stunden je Monat</t>
  </si>
  <si>
    <t>Stunden für einzelnen Teil-leistungen (Honorar-ermittlung)</t>
  </si>
  <si>
    <t>Kontrolle der Übereinstimmung der Stunden aus der Honorarermittlung mit den Stunden laut Personaleinsatzplan (jeweils Summe h für gesamte Phase)</t>
  </si>
  <si>
    <t>Summe Honorar (Projektvorbereitung)</t>
  </si>
  <si>
    <t>Summe Honorar (Planung)</t>
  </si>
  <si>
    <t>Summe Honorar (Ausführungsvorbereitung)</t>
  </si>
  <si>
    <t>Summe Honorar (Ausführung)</t>
  </si>
  <si>
    <t>Summe Honorar (Projektabschluss)</t>
  </si>
  <si>
    <t>Verteilung der Stunden aus der Detailkalkulation</t>
  </si>
  <si>
    <t>Allg. Beschreibung</t>
  </si>
  <si>
    <t>Euro</t>
  </si>
  <si>
    <t>Leistungszeitraum Planung</t>
  </si>
  <si>
    <t>Kostenkennwert</t>
  </si>
  <si>
    <t>Gesamtdauer Leistung</t>
  </si>
  <si>
    <t>Leistungsverzeichnis</t>
  </si>
  <si>
    <t>€/h</t>
  </si>
  <si>
    <t>x</t>
  </si>
  <si>
    <t>=</t>
  </si>
  <si>
    <t>Vorentwurf *</t>
  </si>
  <si>
    <t>h/Monat</t>
  </si>
  <si>
    <t>Leistungs-anteil</t>
  </si>
  <si>
    <t xml:space="preserve">Stunden / Mo 
(für 100% Grundleistung, inkl. PKF) </t>
  </si>
  <si>
    <t>Mittlerer Stundensatz</t>
  </si>
  <si>
    <t>PROJEKTANNAHMEN</t>
  </si>
  <si>
    <t>EINGABE STUNDENSATZ</t>
  </si>
  <si>
    <t>PERSONALEINSATZPLAN (Plausibilitätskontrolle)</t>
  </si>
  <si>
    <t>DETAILKALKULATION auf Basis der Teilleistungen</t>
  </si>
  <si>
    <t>Sonstige Teilleistungen PPH1</t>
  </si>
  <si>
    <t>Sonstige Teilleistungen PPH2</t>
  </si>
  <si>
    <t>Sonstige Teilleistungen PPH3</t>
  </si>
  <si>
    <t>Sonstige Teilleistungen PPH4</t>
  </si>
  <si>
    <t>Sonstige Teilleistungen PPH5</t>
  </si>
  <si>
    <r>
      <t xml:space="preserve">Summe Honorar </t>
    </r>
    <r>
      <rPr>
        <i/>
        <sz val="9"/>
        <rFont val="Arial"/>
        <family val="2"/>
      </rPr>
      <t>(exkl. Pauschalen, MWSt.)</t>
    </r>
  </si>
  <si>
    <r>
      <t xml:space="preserve">Summe Honorar aus Detailkalkulaton der Teilleistungen </t>
    </r>
    <r>
      <rPr>
        <sz val="9"/>
        <rFont val="Arial"/>
        <family val="2"/>
      </rPr>
      <t>(exkl. Zuschläge/Nachlässe, MWSt)</t>
    </r>
  </si>
  <si>
    <r>
      <t xml:space="preserve">Summe Honorar aus dem Personaleinsatzplan </t>
    </r>
    <r>
      <rPr>
        <sz val="9"/>
        <rFont val="Arial"/>
        <family val="2"/>
      </rPr>
      <t>(inkl. Pauschalen, exkl. Zuschläge/Nachlässe, MWSt)</t>
    </r>
  </si>
  <si>
    <t>Summe Pauschalen (Projektstart, Projektabschluss) *</t>
  </si>
  <si>
    <t>+ Pauschale Projektstart [€] *</t>
  </si>
  <si>
    <t>+ Pauschale Projektabschluss [€] *</t>
  </si>
  <si>
    <t>*</t>
  </si>
  <si>
    <t>* Für Leistungen außerhalb des Hauptleistungszeitraumes sind Pauschalen (Projektstart und Projektabschluss) gesondert zu ermitteln.</t>
  </si>
  <si>
    <t>Mitwirkung bei der Vergabe</t>
  </si>
  <si>
    <t>[h/EH]</t>
  </si>
  <si>
    <t>m³</t>
  </si>
  <si>
    <t>€/m³</t>
  </si>
  <si>
    <t>ERMITTLUNG DES PROJEKTKLASSENFAKTORS (Tragwerksplanung)</t>
  </si>
  <si>
    <t>ANALYSE DES LEISTUNGSUMFANGES DER TRAGWERKSPLANUNG</t>
  </si>
  <si>
    <t>TRAGWERKSPLANUNG TEILLEISTUNGEN</t>
  </si>
  <si>
    <t>Bezugsgröße BRI</t>
  </si>
  <si>
    <t>H=E*F*BRI*PKF+G</t>
  </si>
  <si>
    <t>Projekt-vorb.</t>
  </si>
  <si>
    <t>m³ BRI</t>
  </si>
  <si>
    <t>h/m³ BRI</t>
  </si>
  <si>
    <t>Pos. B.4.1.</t>
  </si>
  <si>
    <t>Pos. B.4.2.</t>
  </si>
  <si>
    <t>Pos. B.4.3.</t>
  </si>
  <si>
    <t>Pos. B.4.4.</t>
  </si>
  <si>
    <t>Pos. B.4.5.</t>
  </si>
  <si>
    <t>Pos. B.4.8.</t>
  </si>
  <si>
    <t>Pos. B.4.9.</t>
  </si>
  <si>
    <t>* Tragwerksplanung Leistungsumfang lt. Leistungsbild</t>
  </si>
  <si>
    <t>Grundlagenanalyse *</t>
  </si>
  <si>
    <t>Entwurf *</t>
  </si>
  <si>
    <t>Einreichplanung *</t>
  </si>
  <si>
    <t>Ausführungsplanung *</t>
  </si>
  <si>
    <t>Ausschreibung  *</t>
  </si>
  <si>
    <t>Pos. B.4.6.a</t>
  </si>
  <si>
    <t>Mitwirkung an der Vergabe *</t>
  </si>
  <si>
    <t>Pos. B.4.6.b</t>
  </si>
  <si>
    <t>Begleitung der Bauausführung *</t>
  </si>
  <si>
    <t>Pos. B.4.7.</t>
  </si>
  <si>
    <t>Mitwirken Örtliche Bauaufsicht *</t>
  </si>
  <si>
    <t>Objektbetreuung *</t>
  </si>
  <si>
    <t>Grundlagenanalyse</t>
  </si>
  <si>
    <t>B.4.1.</t>
  </si>
  <si>
    <t>B.4.2.</t>
  </si>
  <si>
    <t>B.4.3.</t>
  </si>
  <si>
    <t>B.4.4.</t>
  </si>
  <si>
    <t>Einreichplanung</t>
  </si>
  <si>
    <t>B.4.5</t>
  </si>
  <si>
    <t xml:space="preserve">Ausführungsplanung </t>
  </si>
  <si>
    <t xml:space="preserve">Ausschreibung </t>
  </si>
  <si>
    <t>B.4.6.a</t>
  </si>
  <si>
    <t>B.4.6.b</t>
  </si>
  <si>
    <t>Begleitung der Bauausführung</t>
  </si>
  <si>
    <t>B.4.7.</t>
  </si>
  <si>
    <t>Mitwirken Örtliche Bauaufsicht</t>
  </si>
  <si>
    <t>B.4.8.</t>
  </si>
  <si>
    <t>Objektbetreuung</t>
  </si>
  <si>
    <t>B.4.9</t>
  </si>
  <si>
    <t>Vorentwurf</t>
  </si>
  <si>
    <t>Entwurf</t>
  </si>
  <si>
    <t>B.4.5.</t>
  </si>
  <si>
    <t>Ausführungsplanung</t>
  </si>
  <si>
    <t>Ausschreibung (LVs)</t>
  </si>
  <si>
    <t>Mitwirkung an der Vergabe</t>
  </si>
  <si>
    <t>B.4.1</t>
  </si>
  <si>
    <t>B.4.2</t>
  </si>
  <si>
    <t>B.4.3</t>
  </si>
  <si>
    <t>B.4.4</t>
  </si>
  <si>
    <t>B.4.7</t>
  </si>
  <si>
    <t>B.4.8</t>
  </si>
  <si>
    <t>Stundensatz Gehilfe</t>
  </si>
  <si>
    <t>Stundensatz Fachkräfte</t>
  </si>
  <si>
    <t>Stundensatz Fachkräfte in gehobener Stellung</t>
  </si>
  <si>
    <t>20 Wohneinheiten mit Tiefgarage</t>
  </si>
  <si>
    <t>AG 02</t>
  </si>
  <si>
    <t>BRI (Bezugsgröße)</t>
  </si>
  <si>
    <t>BGF</t>
  </si>
  <si>
    <t>m²</t>
  </si>
  <si>
    <t>€/m²</t>
  </si>
  <si>
    <t>Privater Bauherr, durchschnittliche Projekterfahrung</t>
  </si>
  <si>
    <t>Eher lange Entscheidungsdauern, hohe Änderungshäufigkeit</t>
  </si>
  <si>
    <t>Projekterfahrung vorhanden, Zusammenarbeit mit AG</t>
  </si>
  <si>
    <t>Keine besonderen Anforderungen an das Tragwerk, hohe Ansprüche an die Gründung, Innerstädtische Lage</t>
  </si>
  <si>
    <t>Konkrete Projektvorgaben, geringer Besprechungsaufwand, geringer Vorbereitungsaufwand für Entscheidungsfindung</t>
  </si>
  <si>
    <t>Durchschnittlich</t>
  </si>
  <si>
    <t>Durchschnittlich, Anrainerbeteiligung</t>
  </si>
  <si>
    <t>Standfester Boden, anspruchsvolle Bauzustände</t>
  </si>
  <si>
    <t>Schlechte Zahlungsmoral des Bauherrn</t>
  </si>
  <si>
    <t>Nicht relevant</t>
  </si>
  <si>
    <t>Kriegsmittel-Verdachtsflächen</t>
  </si>
  <si>
    <t>Geringes Zeitrisiko</t>
  </si>
  <si>
    <t>Enge Terminvorgaben, Schnittstellen zu Objektplaner: rechtzeitige Übergabe von Planungsgrundlagen</t>
  </si>
  <si>
    <t>Bemessung teilweise parallel laufend</t>
  </si>
  <si>
    <t>Durchschnittlicher Kostendruck</t>
  </si>
  <si>
    <t>nicht im Leistungsbild</t>
  </si>
  <si>
    <t>Planungsleiter</t>
  </si>
  <si>
    <t>Name1</t>
  </si>
  <si>
    <t>A4</t>
  </si>
  <si>
    <t>Techniker</t>
  </si>
  <si>
    <t>Name2</t>
  </si>
  <si>
    <t>A3</t>
  </si>
  <si>
    <t>Sekretariat</t>
  </si>
  <si>
    <t>Name3</t>
  </si>
  <si>
    <t>A2</t>
  </si>
  <si>
    <t>%-Zuschlag</t>
  </si>
  <si>
    <t>Mischwert  Stundensatz</t>
  </si>
  <si>
    <t xml:space="preserve">+ Gemeinkosten Personal (in % von Einzelkosten) </t>
  </si>
  <si>
    <t xml:space="preserve">  = Personalkosten</t>
  </si>
  <si>
    <t xml:space="preserve">+ Gemeinkosten Material (in % von Personalkosten) </t>
  </si>
  <si>
    <t xml:space="preserve">  = Selbstkosten Eigenleistung</t>
  </si>
  <si>
    <t xml:space="preserve">+ Zuschlag für Risiko  (in % von Selbstk. Eigenl.) </t>
  </si>
  <si>
    <t xml:space="preserve">+ Zuschlag für Gewinn  (in % von Selbstk. Eigenl.) </t>
  </si>
  <si>
    <t xml:space="preserve">  = Preis Eigenleistung pro Stunde</t>
  </si>
  <si>
    <t>Mischstundensatz</t>
  </si>
  <si>
    <t>%-Anteil</t>
  </si>
  <si>
    <t>€ /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</si>
</sst>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\ &quot;€&quot;;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0.000"/>
    <numFmt numFmtId="168" formatCode="0.0"/>
    <numFmt numFmtId="169" formatCode="0.0%"/>
    <numFmt numFmtId="170" formatCode="#,##0_ ;[Red]\-#,##0\ "/>
    <numFmt numFmtId="171" formatCode="#,##0.0_ ;[Red]\-#,##0.0\ "/>
    <numFmt numFmtId="173" formatCode="#,##0.00\ &quot;€&quot;"/>
    <numFmt numFmtId="174" formatCode="#,##0\ &quot;€&quot;"/>
    <numFmt numFmtId="175" formatCode="#,##0.0\ &quot;€&quot;"/>
    <numFmt numFmtId="176" formatCode="#,##0.00_ ;\-#,##0.00\ "/>
    <numFmt numFmtId="177" formatCode="_-* #,##0.00\ [$€-407]_-;\-* #,##0.00\ [$€-407]_-;_-* &quot;-&quot;??\ [$€-407]_-;_-@_-"/>
    <numFmt numFmtId="178" formatCode="&quot;€&quot;\ #,##0.00"/>
  </numFmts>
  <fonts count="2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1"/>
      <name val="MS Reference Sans Serif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u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rgb="FFCCFFCC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166" fontId="1" fillId="0" borderId="0" applyFont="0" applyFill="0" applyBorder="0" applyAlignment="0" applyProtection="0"/>
  </cellStyleXfs>
  <cellXfs count="466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71" fontId="4" fillId="4" borderId="2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70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0" borderId="0" xfId="0" applyFont="1" applyFill="1"/>
    <xf numFmtId="0" fontId="12" fillId="2" borderId="0" xfId="0" applyFont="1" applyFill="1"/>
    <xf numFmtId="0" fontId="12" fillId="0" borderId="0" xfId="0" applyFont="1"/>
    <xf numFmtId="4" fontId="12" fillId="0" borderId="0" xfId="0" applyNumberFormat="1" applyFont="1" applyFill="1" applyBorder="1"/>
    <xf numFmtId="0" fontId="12" fillId="2" borderId="0" xfId="0" applyFont="1" applyFill="1" applyBorder="1" applyAlignment="1">
      <alignment horizontal="left" indent="1"/>
    </xf>
    <xf numFmtId="3" fontId="12" fillId="2" borderId="2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4" fontId="2" fillId="0" borderId="2" xfId="0" quotePrefix="1" applyNumberFormat="1" applyFont="1" applyBorder="1" applyAlignment="1">
      <alignment vertical="top" wrapText="1"/>
    </xf>
    <xf numFmtId="0" fontId="2" fillId="2" borderId="2" xfId="0" quotePrefix="1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169" fontId="2" fillId="2" borderId="2" xfId="5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16" fontId="2" fillId="0" borderId="2" xfId="0" quotePrefix="1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5" fillId="4" borderId="2" xfId="5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68" fontId="5" fillId="4" borderId="2" xfId="0" applyNumberFormat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168" fontId="5" fillId="4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2" fillId="0" borderId="2" xfId="0" quotePrefix="1" applyNumberFormat="1" applyFont="1" applyBorder="1" applyAlignment="1">
      <alignment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8" fontId="5" fillId="3" borderId="11" xfId="0" applyNumberFormat="1" applyFont="1" applyFill="1" applyBorder="1" applyAlignment="1">
      <alignment horizontal="center" vertical="center"/>
    </xf>
    <xf numFmtId="168" fontId="5" fillId="4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8" fontId="12" fillId="4" borderId="2" xfId="0" applyNumberFormat="1" applyFont="1" applyFill="1" applyBorder="1" applyAlignment="1">
      <alignment horizontal="right"/>
    </xf>
    <xf numFmtId="8" fontId="12" fillId="2" borderId="1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  <xf numFmtId="8" fontId="12" fillId="0" borderId="2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vertical="center"/>
    </xf>
    <xf numFmtId="9" fontId="13" fillId="2" borderId="0" xfId="5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/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173" fontId="0" fillId="0" borderId="0" xfId="0" applyNumberFormat="1"/>
    <xf numFmtId="3" fontId="2" fillId="4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" fontId="2" fillId="2" borderId="0" xfId="0" applyNumberFormat="1" applyFont="1" applyFill="1" applyBorder="1"/>
    <xf numFmtId="0" fontId="9" fillId="2" borderId="24" xfId="0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/>
    </xf>
    <xf numFmtId="168" fontId="6" fillId="3" borderId="11" xfId="0" applyNumberFormat="1" applyFont="1" applyFill="1" applyBorder="1" applyAlignment="1">
      <alignment horizontal="center"/>
    </xf>
    <xf numFmtId="9" fontId="2" fillId="2" borderId="2" xfId="5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9" fontId="13" fillId="2" borderId="0" xfId="5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168" fontId="6" fillId="3" borderId="6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19" xfId="0" applyNumberFormat="1" applyFont="1" applyFill="1" applyBorder="1" applyAlignment="1" applyProtection="1">
      <alignment horizontal="left"/>
    </xf>
    <xf numFmtId="0" fontId="18" fillId="0" borderId="2" xfId="0" applyFont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18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73" fontId="7" fillId="7" borderId="2" xfId="0" applyNumberFormat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vertical="center"/>
    </xf>
    <xf numFmtId="173" fontId="7" fillId="0" borderId="2" xfId="0" applyNumberFormat="1" applyFont="1" applyBorder="1" applyAlignment="1">
      <alignment vertical="center"/>
    </xf>
    <xf numFmtId="168" fontId="9" fillId="0" borderId="0" xfId="0" applyNumberFormat="1" applyFont="1"/>
    <xf numFmtId="174" fontId="3" fillId="8" borderId="2" xfId="0" applyNumberFormat="1" applyFont="1" applyFill="1" applyBorder="1" applyAlignment="1">
      <alignment vertical="center"/>
    </xf>
    <xf numFmtId="0" fontId="18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173" fontId="7" fillId="9" borderId="2" xfId="0" applyNumberFormat="1" applyFont="1" applyFill="1" applyBorder="1" applyAlignment="1">
      <alignment horizontal="center" vertical="center"/>
    </xf>
    <xf numFmtId="9" fontId="3" fillId="9" borderId="2" xfId="0" applyNumberFormat="1" applyFont="1" applyFill="1" applyBorder="1" applyAlignment="1">
      <alignment vertical="center"/>
    </xf>
    <xf numFmtId="174" fontId="3" fillId="10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20" fillId="0" borderId="1" xfId="0" applyFont="1" applyBorder="1"/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8" fontId="3" fillId="0" borderId="2" xfId="0" applyNumberFormat="1" applyFont="1" applyBorder="1"/>
    <xf numFmtId="0" fontId="7" fillId="0" borderId="2" xfId="0" applyFont="1" applyBorder="1"/>
    <xf numFmtId="0" fontId="9" fillId="0" borderId="0" xfId="0" applyFont="1" applyBorder="1"/>
    <xf numFmtId="175" fontId="3" fillId="0" borderId="19" xfId="0" applyNumberFormat="1" applyFont="1" applyBorder="1"/>
    <xf numFmtId="173" fontId="20" fillId="0" borderId="3" xfId="0" applyNumberFormat="1" applyFont="1" applyBorder="1"/>
    <xf numFmtId="0" fontId="7" fillId="0" borderId="1" xfId="0" quotePrefix="1" applyFont="1" applyBorder="1"/>
    <xf numFmtId="0" fontId="7" fillId="0" borderId="19" xfId="0" applyFont="1" applyBorder="1"/>
    <xf numFmtId="168" fontId="7" fillId="0" borderId="19" xfId="0" applyNumberFormat="1" applyFont="1" applyBorder="1"/>
    <xf numFmtId="173" fontId="7" fillId="7" borderId="2" xfId="0" applyNumberFormat="1" applyFont="1" applyFill="1" applyBorder="1"/>
    <xf numFmtId="173" fontId="20" fillId="0" borderId="2" xfId="0" applyNumberFormat="1" applyFont="1" applyBorder="1"/>
    <xf numFmtId="9" fontId="7" fillId="7" borderId="2" xfId="0" applyNumberFormat="1" applyFont="1" applyFill="1" applyBorder="1"/>
    <xf numFmtId="173" fontId="7" fillId="0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8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" fillId="2" borderId="0" xfId="7" applyFont="1" applyFill="1" applyBorder="1" applyAlignment="1">
      <alignment vertical="center"/>
    </xf>
    <xf numFmtId="2" fontId="17" fillId="11" borderId="5" xfId="0" applyNumberFormat="1" applyFont="1" applyFill="1" applyBorder="1" applyAlignment="1">
      <alignment horizontal="right"/>
    </xf>
    <xf numFmtId="0" fontId="6" fillId="11" borderId="6" xfId="0" applyFont="1" applyFill="1" applyBorder="1"/>
    <xf numFmtId="0" fontId="2" fillId="2" borderId="22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0" fontId="5" fillId="2" borderId="0" xfId="7" applyFont="1" applyFill="1" applyBorder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22" xfId="7" applyFont="1" applyFill="1" applyBorder="1" applyAlignment="1">
      <alignment vertical="center"/>
    </xf>
    <xf numFmtId="0" fontId="21" fillId="0" borderId="0" xfId="7" applyFont="1" applyAlignment="1">
      <alignment horizontal="right" vertical="center"/>
    </xf>
    <xf numFmtId="1" fontId="7" fillId="7" borderId="2" xfId="0" applyNumberFormat="1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0" fontId="10" fillId="2" borderId="0" xfId="7" applyFont="1" applyFill="1"/>
    <xf numFmtId="0" fontId="12" fillId="2" borderId="0" xfId="7" applyFont="1" applyFill="1"/>
    <xf numFmtId="0" fontId="12" fillId="0" borderId="0" xfId="7" applyFont="1"/>
    <xf numFmtId="0" fontId="6" fillId="2" borderId="0" xfId="7" applyFont="1" applyFill="1"/>
    <xf numFmtId="0" fontId="6" fillId="0" borderId="0" xfId="7" applyFont="1"/>
    <xf numFmtId="0" fontId="2" fillId="0" borderId="0" xfId="7" applyFont="1"/>
    <xf numFmtId="0" fontId="9" fillId="0" borderId="0" xfId="7"/>
    <xf numFmtId="0" fontId="13" fillId="0" borderId="12" xfId="7" applyFont="1" applyBorder="1" applyAlignment="1">
      <alignment horizontal="center"/>
    </xf>
    <xf numFmtId="0" fontId="2" fillId="0" borderId="10" xfId="7" applyFont="1" applyBorder="1"/>
    <xf numFmtId="168" fontId="2" fillId="0" borderId="10" xfId="7" applyNumberFormat="1" applyFont="1" applyBorder="1"/>
    <xf numFmtId="43" fontId="2" fillId="0" borderId="10" xfId="4" applyFont="1" applyBorder="1"/>
    <xf numFmtId="0" fontId="2" fillId="0" borderId="0" xfId="7" applyFont="1" applyAlignment="1">
      <alignment horizontal="center"/>
    </xf>
    <xf numFmtId="177" fontId="2" fillId="0" borderId="0" xfId="7" applyNumberFormat="1" applyFont="1"/>
    <xf numFmtId="0" fontId="13" fillId="0" borderId="1" xfId="7" applyFont="1" applyBorder="1" applyAlignment="1">
      <alignment horizontal="left" vertical="center"/>
    </xf>
    <xf numFmtId="0" fontId="13" fillId="0" borderId="19" xfId="7" applyFont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177" fontId="13" fillId="0" borderId="2" xfId="7" applyNumberFormat="1" applyFont="1" applyBorder="1" applyAlignment="1">
      <alignment horizontal="right" vertical="center"/>
    </xf>
    <xf numFmtId="0" fontId="5" fillId="0" borderId="0" xfId="7" applyFont="1"/>
    <xf numFmtId="0" fontId="4" fillId="0" borderId="0" xfId="7" applyFont="1"/>
    <xf numFmtId="0" fontId="2" fillId="0" borderId="0" xfId="7" applyFont="1" applyFill="1" applyBorder="1"/>
    <xf numFmtId="0" fontId="9" fillId="0" borderId="0" xfId="7" applyFont="1"/>
    <xf numFmtId="43" fontId="2" fillId="0" borderId="0" xfId="4" applyFont="1" applyBorder="1"/>
    <xf numFmtId="0" fontId="13" fillId="0" borderId="0" xfId="7" applyFont="1" applyBorder="1" applyAlignment="1">
      <alignment horizontal="center"/>
    </xf>
    <xf numFmtId="0" fontId="13" fillId="0" borderId="3" xfId="7" applyFont="1" applyBorder="1" applyAlignment="1">
      <alignment horizontal="left" vertical="center"/>
    </xf>
    <xf numFmtId="0" fontId="2" fillId="7" borderId="2" xfId="0" applyFont="1" applyFill="1" applyBorder="1" applyAlignment="1">
      <alignment vertical="center" wrapText="1"/>
    </xf>
    <xf numFmtId="9" fontId="2" fillId="7" borderId="2" xfId="5" applyFont="1" applyFill="1" applyBorder="1" applyAlignment="1">
      <alignment horizontal="left" vertical="center" wrapText="1"/>
    </xf>
    <xf numFmtId="171" fontId="6" fillId="12" borderId="31" xfId="0" applyNumberFormat="1" applyFont="1" applyFill="1" applyBorder="1" applyAlignment="1">
      <alignment horizontal="center"/>
    </xf>
    <xf numFmtId="9" fontId="2" fillId="7" borderId="10" xfId="5" applyFont="1" applyFill="1" applyBorder="1" applyAlignment="1">
      <alignment horizontal="left" vertical="center" wrapText="1"/>
    </xf>
    <xf numFmtId="2" fontId="10" fillId="12" borderId="31" xfId="0" applyNumberFormat="1" applyFont="1" applyFill="1" applyBorder="1" applyAlignment="1">
      <alignment horizontal="center"/>
    </xf>
    <xf numFmtId="171" fontId="4" fillId="8" borderId="2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6" fillId="13" borderId="0" xfId="0" applyFont="1" applyFill="1" applyAlignment="1">
      <alignment vertical="top"/>
    </xf>
    <xf numFmtId="8" fontId="6" fillId="12" borderId="31" xfId="0" applyNumberFormat="1" applyFont="1" applyFill="1" applyBorder="1" applyAlignment="1">
      <alignment horizontal="right" vertical="center"/>
    </xf>
    <xf numFmtId="0" fontId="6" fillId="12" borderId="5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vertical="center"/>
    </xf>
    <xf numFmtId="3" fontId="5" fillId="13" borderId="2" xfId="0" applyNumberFormat="1" applyFont="1" applyFill="1" applyBorder="1" applyAlignment="1">
      <alignment horizontal="right" vertical="center"/>
    </xf>
    <xf numFmtId="9" fontId="2" fillId="13" borderId="2" xfId="5" applyFont="1" applyFill="1" applyBorder="1" applyAlignment="1">
      <alignment horizontal="center" vertical="top" wrapText="1"/>
    </xf>
    <xf numFmtId="2" fontId="2" fillId="13" borderId="2" xfId="0" applyNumberFormat="1" applyFont="1" applyFill="1" applyBorder="1" applyAlignment="1">
      <alignment horizontal="center" vertical="top" wrapText="1"/>
    </xf>
    <xf numFmtId="0" fontId="18" fillId="12" borderId="1" xfId="0" applyFont="1" applyFill="1" applyBorder="1"/>
    <xf numFmtId="0" fontId="18" fillId="12" borderId="19" xfId="0" applyFont="1" applyFill="1" applyBorder="1"/>
    <xf numFmtId="173" fontId="18" fillId="12" borderId="2" xfId="0" applyNumberFormat="1" applyFont="1" applyFill="1" applyBorder="1"/>
    <xf numFmtId="2" fontId="6" fillId="7" borderId="1" xfId="0" applyNumberFormat="1" applyFont="1" applyFill="1" applyBorder="1" applyAlignment="1">
      <alignment horizontal="left"/>
    </xf>
    <xf numFmtId="2" fontId="6" fillId="7" borderId="19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169" fontId="23" fillId="0" borderId="0" xfId="5" applyNumberFormat="1" applyFont="1" applyBorder="1" applyAlignment="1">
      <alignment vertical="center" wrapText="1"/>
    </xf>
    <xf numFmtId="9" fontId="13" fillId="2" borderId="2" xfId="5" applyFont="1" applyFill="1" applyBorder="1" applyAlignment="1">
      <alignment horizontal="center" vertical="center"/>
    </xf>
    <xf numFmtId="164" fontId="2" fillId="14" borderId="2" xfId="3" applyNumberFormat="1" applyFont="1" applyFill="1" applyBorder="1" applyAlignment="1">
      <alignment vertical="center" wrapText="1"/>
    </xf>
    <xf numFmtId="164" fontId="5" fillId="14" borderId="2" xfId="3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2" fontId="6" fillId="15" borderId="11" xfId="0" applyNumberFormat="1" applyFont="1" applyFill="1" applyBorder="1"/>
    <xf numFmtId="2" fontId="2" fillId="13" borderId="2" xfId="0" applyNumberFormat="1" applyFont="1" applyFill="1" applyBorder="1" applyAlignment="1">
      <alignment horizontal="center" vertical="top"/>
    </xf>
    <xf numFmtId="168" fontId="6" fillId="16" borderId="11" xfId="0" applyNumberFormat="1" applyFont="1" applyFill="1" applyBorder="1" applyAlignment="1">
      <alignment horizontal="center"/>
    </xf>
    <xf numFmtId="168" fontId="2" fillId="8" borderId="2" xfId="0" applyNumberFormat="1" applyFont="1" applyFill="1" applyBorder="1" applyAlignment="1">
      <alignment horizontal="center" vertical="top"/>
    </xf>
    <xf numFmtId="0" fontId="9" fillId="7" borderId="2" xfId="0" applyFont="1" applyFill="1" applyBorder="1" applyAlignment="1">
      <alignment horizontal="left" vertical="top" wrapText="1"/>
    </xf>
    <xf numFmtId="0" fontId="9" fillId="13" borderId="31" xfId="0" applyFont="1" applyFill="1" applyBorder="1" applyAlignment="1">
      <alignment vertical="top" wrapText="1"/>
    </xf>
    <xf numFmtId="0" fontId="4" fillId="0" borderId="0" xfId="0" applyFont="1" applyFill="1" applyBorder="1"/>
    <xf numFmtId="9" fontId="0" fillId="0" borderId="0" xfId="0" applyNumberFormat="1" applyFill="1" applyBorder="1"/>
    <xf numFmtId="173" fontId="0" fillId="0" borderId="0" xfId="0" applyNumberFormat="1" applyFill="1" applyBorder="1"/>
    <xf numFmtId="173" fontId="18" fillId="0" borderId="0" xfId="0" applyNumberFormat="1" applyFont="1" applyBorder="1"/>
    <xf numFmtId="0" fontId="7" fillId="0" borderId="0" xfId="0" applyFont="1" applyBorder="1"/>
    <xf numFmtId="173" fontId="7" fillId="0" borderId="0" xfId="0" applyNumberFormat="1" applyFont="1" applyBorder="1"/>
    <xf numFmtId="0" fontId="5" fillId="0" borderId="0" xfId="0" applyFont="1" applyFill="1"/>
    <xf numFmtId="0" fontId="2" fillId="0" borderId="0" xfId="0" applyFont="1" applyFill="1" applyAlignment="1">
      <alignment vertical="top" wrapText="1"/>
    </xf>
    <xf numFmtId="2" fontId="2" fillId="0" borderId="0" xfId="0" applyNumberFormat="1" applyFont="1" applyFill="1" applyAlignment="1">
      <alignment vertical="top" wrapText="1"/>
    </xf>
    <xf numFmtId="2" fontId="5" fillId="0" borderId="0" xfId="0" applyNumberFormat="1" applyFont="1" applyFill="1"/>
    <xf numFmtId="165" fontId="12" fillId="0" borderId="0" xfId="0" applyNumberFormat="1" applyFont="1" applyFill="1"/>
    <xf numFmtId="164" fontId="5" fillId="0" borderId="0" xfId="0" applyNumberFormat="1" applyFont="1" applyBorder="1" applyAlignment="1">
      <alignment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173" fontId="0" fillId="0" borderId="0" xfId="0" applyNumberFormat="1" applyFill="1"/>
    <xf numFmtId="0" fontId="2" fillId="0" borderId="0" xfId="0" applyFont="1" applyAlignment="1">
      <alignment vertical="top"/>
    </xf>
    <xf numFmtId="0" fontId="9" fillId="0" borderId="2" xfId="0" applyFont="1" applyBorder="1" applyAlignment="1">
      <alignment horizontal="left"/>
    </xf>
    <xf numFmtId="43" fontId="4" fillId="7" borderId="2" xfId="4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167" fontId="2" fillId="4" borderId="2" xfId="0" applyNumberFormat="1" applyFont="1" applyFill="1" applyBorder="1" applyAlignment="1">
      <alignment horizontal="center" vertical="top" wrapText="1"/>
    </xf>
    <xf numFmtId="43" fontId="4" fillId="7" borderId="10" xfId="4" applyNumberFormat="1" applyFont="1" applyFill="1" applyBorder="1" applyAlignment="1">
      <alignment horizontal="left" vertical="center"/>
    </xf>
    <xf numFmtId="0" fontId="2" fillId="0" borderId="20" xfId="7" applyFont="1" applyBorder="1" applyAlignment="1">
      <alignment vertical="center"/>
    </xf>
    <xf numFmtId="0" fontId="2" fillId="0" borderId="21" xfId="7" applyFont="1" applyBorder="1" applyAlignment="1">
      <alignment vertical="center"/>
    </xf>
    <xf numFmtId="0" fontId="14" fillId="13" borderId="2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2" fillId="0" borderId="23" xfId="0" applyFont="1" applyBorder="1"/>
    <xf numFmtId="0" fontId="1" fillId="0" borderId="2" xfId="0" quotePrefix="1" applyFont="1" applyBorder="1" applyAlignment="1">
      <alignment vertical="top" wrapText="1"/>
    </xf>
    <xf numFmtId="0" fontId="18" fillId="0" borderId="19" xfId="0" applyFont="1" applyBorder="1" applyAlignment="1">
      <alignment horizontal="center" vertical="center"/>
    </xf>
    <xf numFmtId="0" fontId="1" fillId="0" borderId="2" xfId="7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1" fillId="0" borderId="2" xfId="7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1" fillId="4" borderId="32" xfId="0" applyFont="1" applyFill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9" fontId="0" fillId="0" borderId="20" xfId="0" applyNumberFormat="1" applyFill="1" applyBorder="1" applyAlignment="1">
      <alignment horizontal="center"/>
    </xf>
    <xf numFmtId="178" fontId="4" fillId="13" borderId="23" xfId="0" applyNumberFormat="1" applyFont="1" applyFill="1" applyBorder="1" applyAlignment="1">
      <alignment horizontal="center"/>
    </xf>
    <xf numFmtId="0" fontId="0" fillId="0" borderId="22" xfId="0" quotePrefix="1" applyFill="1" applyBorder="1"/>
    <xf numFmtId="0" fontId="0" fillId="0" borderId="22" xfId="0" applyFill="1" applyBorder="1"/>
    <xf numFmtId="9" fontId="0" fillId="4" borderId="21" xfId="0" applyNumberFormat="1" applyFill="1" applyBorder="1" applyAlignment="1">
      <alignment horizontal="center"/>
    </xf>
    <xf numFmtId="178" fontId="0" fillId="0" borderId="22" xfId="0" applyNumberForma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/>
    <xf numFmtId="9" fontId="0" fillId="4" borderId="57" xfId="0" applyNumberFormat="1" applyFill="1" applyBorder="1" applyAlignment="1">
      <alignment horizontal="center"/>
    </xf>
    <xf numFmtId="178" fontId="0" fillId="0" borderId="0" xfId="0" applyNumberFormat="1" applyFill="1" applyBorder="1" applyAlignment="1">
      <alignment horizontal="center"/>
    </xf>
    <xf numFmtId="0" fontId="0" fillId="0" borderId="20" xfId="0" applyFill="1" applyBorder="1"/>
    <xf numFmtId="0" fontId="0" fillId="0" borderId="0" xfId="0" applyFill="1" applyAlignment="1">
      <alignment horizontal="center"/>
    </xf>
    <xf numFmtId="0" fontId="0" fillId="0" borderId="21" xfId="0" applyFill="1" applyBorder="1"/>
    <xf numFmtId="178" fontId="6" fillId="12" borderId="31" xfId="0" applyNumberFormat="1" applyFont="1" applyFill="1" applyBorder="1" applyAlignment="1">
      <alignment horizontal="center"/>
    </xf>
    <xf numFmtId="0" fontId="24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/>
    </xf>
    <xf numFmtId="178" fontId="0" fillId="13" borderId="2" xfId="0" applyNumberFormat="1" applyFill="1" applyBorder="1" applyAlignment="1">
      <alignment horizontal="center"/>
    </xf>
    <xf numFmtId="0" fontId="0" fillId="0" borderId="22" xfId="0" applyFill="1" applyBorder="1" applyAlignment="1">
      <alignment horizontal="left" indent="1"/>
    </xf>
    <xf numFmtId="9" fontId="0" fillId="0" borderId="0" xfId="0" applyNumberFormat="1" applyFill="1" applyAlignment="1">
      <alignment horizontal="center"/>
    </xf>
    <xf numFmtId="178" fontId="4" fillId="0" borderId="0" xfId="0" applyNumberFormat="1" applyFont="1" applyFill="1" applyAlignment="1">
      <alignment horizontal="center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2" fontId="6" fillId="4" borderId="2" xfId="0" applyNumberFormat="1" applyFont="1" applyFill="1" applyBorder="1" applyAlignment="1">
      <alignment horizontal="left"/>
    </xf>
    <xf numFmtId="0" fontId="5" fillId="2" borderId="3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2" fillId="7" borderId="1" xfId="5" applyNumberFormat="1" applyFont="1" applyFill="1" applyBorder="1" applyAlignment="1">
      <alignment horizontal="center" vertical="top" wrapText="1"/>
    </xf>
    <xf numFmtId="0" fontId="2" fillId="7" borderId="3" xfId="5" applyNumberFormat="1" applyFont="1" applyFill="1" applyBorder="1" applyAlignment="1">
      <alignment horizontal="center" vertical="top" wrapText="1"/>
    </xf>
    <xf numFmtId="0" fontId="14" fillId="13" borderId="12" xfId="0" applyFont="1" applyFill="1" applyBorder="1" applyAlignment="1">
      <alignment vertical="center" wrapText="1"/>
    </xf>
    <xf numFmtId="0" fontId="14" fillId="13" borderId="25" xfId="0" applyFont="1" applyFill="1" applyBorder="1" applyAlignment="1">
      <alignment vertical="center" wrapText="1"/>
    </xf>
    <xf numFmtId="0" fontId="14" fillId="13" borderId="10" xfId="0" applyFont="1" applyFill="1" applyBorder="1" applyAlignment="1">
      <alignment vertical="center" wrapText="1"/>
    </xf>
    <xf numFmtId="0" fontId="5" fillId="13" borderId="2" xfId="0" applyFont="1" applyFill="1" applyBorder="1" applyAlignment="1">
      <alignment horizontal="left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2" fontId="2" fillId="13" borderId="2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3" fillId="13" borderId="25" xfId="0" applyFont="1" applyFill="1" applyBorder="1" applyAlignment="1">
      <alignment vertical="center" wrapText="1"/>
    </xf>
    <xf numFmtId="0" fontId="13" fillId="13" borderId="10" xfId="0" applyFont="1" applyFill="1" applyBorder="1" applyAlignment="1">
      <alignment vertical="center" wrapText="1"/>
    </xf>
    <xf numFmtId="2" fontId="2" fillId="4" borderId="2" xfId="0" applyNumberFormat="1" applyFont="1" applyFill="1" applyBorder="1" applyAlignment="1">
      <alignment horizontal="right" vertical="center"/>
    </xf>
    <xf numFmtId="4" fontId="5" fillId="13" borderId="2" xfId="0" applyNumberFormat="1" applyFont="1" applyFill="1" applyBorder="1" applyAlignment="1">
      <alignment horizontal="right" vertical="center"/>
    </xf>
    <xf numFmtId="0" fontId="19" fillId="8" borderId="1" xfId="0" applyFont="1" applyFill="1" applyBorder="1" applyAlignment="1">
      <alignment vertical="center"/>
    </xf>
    <xf numFmtId="0" fontId="3" fillId="0" borderId="19" xfId="0" applyFont="1" applyBorder="1"/>
    <xf numFmtId="0" fontId="3" fillId="0" borderId="3" xfId="0" applyFont="1" applyBorder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168" fontId="2" fillId="6" borderId="2" xfId="0" applyNumberFormat="1" applyFont="1" applyFill="1" applyBorder="1" applyAlignment="1">
      <alignment horizontal="right" vertical="center"/>
    </xf>
    <xf numFmtId="0" fontId="15" fillId="11" borderId="42" xfId="0" applyFont="1" applyFill="1" applyBorder="1" applyAlignment="1">
      <alignment horizontal="center" vertical="center" wrapText="1"/>
    </xf>
    <xf numFmtId="0" fontId="15" fillId="11" borderId="34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/>
    </xf>
    <xf numFmtId="2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9" fillId="11" borderId="55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2" fillId="0" borderId="20" xfId="7" applyFont="1" applyBorder="1" applyAlignment="1">
      <alignment vertical="center"/>
    </xf>
    <xf numFmtId="0" fontId="2" fillId="0" borderId="21" xfId="7" applyFont="1" applyBorder="1" applyAlignment="1">
      <alignment vertical="center"/>
    </xf>
    <xf numFmtId="0" fontId="2" fillId="0" borderId="23" xfId="7" applyFont="1" applyBorder="1" applyAlignment="1">
      <alignment vertical="center"/>
    </xf>
    <xf numFmtId="0" fontId="2" fillId="0" borderId="56" xfId="7" applyFont="1" applyBorder="1" applyAlignment="1">
      <alignment vertical="center"/>
    </xf>
    <xf numFmtId="0" fontId="2" fillId="0" borderId="22" xfId="7" applyFont="1" applyBorder="1" applyAlignment="1">
      <alignment vertical="center"/>
    </xf>
    <xf numFmtId="0" fontId="2" fillId="0" borderId="32" xfId="7" applyFont="1" applyBorder="1" applyAlignment="1">
      <alignment vertical="center"/>
    </xf>
    <xf numFmtId="0" fontId="2" fillId="0" borderId="25" xfId="7" applyFont="1" applyBorder="1" applyAlignment="1">
      <alignment horizontal="center" vertical="center"/>
    </xf>
    <xf numFmtId="0" fontId="2" fillId="0" borderId="57" xfId="7" applyFont="1" applyBorder="1" applyAlignment="1">
      <alignment horizontal="center" vertical="center"/>
    </xf>
    <xf numFmtId="0" fontId="5" fillId="2" borderId="20" xfId="7" applyNumberFormat="1" applyFont="1" applyFill="1" applyBorder="1" applyAlignment="1" applyProtection="1">
      <alignment horizontal="left"/>
    </xf>
    <xf numFmtId="0" fontId="5" fillId="2" borderId="23" xfId="7" applyNumberFormat="1" applyFont="1" applyFill="1" applyBorder="1" applyAlignment="1" applyProtection="1">
      <alignment horizontal="left"/>
    </xf>
    <xf numFmtId="0" fontId="5" fillId="2" borderId="56" xfId="7" applyNumberFormat="1" applyFont="1" applyFill="1" applyBorder="1" applyAlignment="1" applyProtection="1">
      <alignment horizontal="left"/>
    </xf>
    <xf numFmtId="0" fontId="2" fillId="0" borderId="0" xfId="7" applyFont="1" applyBorder="1" applyAlignment="1">
      <alignment horizontal="center" vertical="center"/>
    </xf>
    <xf numFmtId="177" fontId="2" fillId="0" borderId="12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2" fillId="0" borderId="20" xfId="7" applyFont="1" applyBorder="1" applyAlignment="1">
      <alignment horizontal="left" vertical="center"/>
    </xf>
    <xf numFmtId="0" fontId="2" fillId="0" borderId="21" xfId="7" applyFont="1" applyBorder="1" applyAlignment="1">
      <alignment horizontal="left" vertical="center"/>
    </xf>
  </cellXfs>
  <cellStyles count="10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 2" xfId="7" xr:uid="{00000000-0005-0000-0000-000007000000}"/>
    <cellStyle name="Standard 3" xfId="8" xr:uid="{9240D68E-4853-4B9B-B1E6-FBBE364A4244}"/>
    <cellStyle name="Währung 2" xfId="9" xr:uid="{9D0E9585-3831-4E8E-9E8D-ED0A463AAEAD}"/>
  </cellStyles>
  <dxfs count="6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Personaleinsatzplan!$F$8:$V$8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Personaleinsatzplan!$F$17:$V$17</c:f>
              <c:numCache>
                <c:formatCode>#\ ##0\ "€"</c:formatCode>
                <c:ptCount val="17"/>
                <c:pt idx="0">
                  <c:v>222.72635733011995</c:v>
                </c:pt>
                <c:pt idx="1">
                  <c:v>371.21059555019997</c:v>
                </c:pt>
                <c:pt idx="2">
                  <c:v>371.21059555019997</c:v>
                </c:pt>
                <c:pt idx="3">
                  <c:v>371.21059555019997</c:v>
                </c:pt>
                <c:pt idx="4">
                  <c:v>371.21059555019997</c:v>
                </c:pt>
                <c:pt idx="5">
                  <c:v>371.21059555019997</c:v>
                </c:pt>
                <c:pt idx="6">
                  <c:v>371.21059555019997</c:v>
                </c:pt>
                <c:pt idx="7">
                  <c:v>371.21059555019997</c:v>
                </c:pt>
                <c:pt idx="8">
                  <c:v>148.48423822007999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148.48423822007999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7-45D3-928C-1F303F7F9F92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Personaleinsatzplan!$F$8:$V$8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Personaleinsatzplan!$F$14:$V$14</c:f>
              <c:numCache>
                <c:formatCode>#\ ##0\ "€"</c:formatCode>
                <c:ptCount val="17"/>
                <c:pt idx="0">
                  <c:v>636.36102094320006</c:v>
                </c:pt>
                <c:pt idx="1">
                  <c:v>5090.8881675456005</c:v>
                </c:pt>
                <c:pt idx="2">
                  <c:v>5727.2491884888004</c:v>
                </c:pt>
                <c:pt idx="3">
                  <c:v>5727.2491884888004</c:v>
                </c:pt>
                <c:pt idx="4">
                  <c:v>1909.0830628295998</c:v>
                </c:pt>
                <c:pt idx="5">
                  <c:v>1909.0830628295998</c:v>
                </c:pt>
                <c:pt idx="6">
                  <c:v>1909.0830628295998</c:v>
                </c:pt>
                <c:pt idx="7">
                  <c:v>1272.7220418864001</c:v>
                </c:pt>
                <c:pt idx="8">
                  <c:v>1272.7220418864001</c:v>
                </c:pt>
                <c:pt idx="9">
                  <c:v>1272.7220418864001</c:v>
                </c:pt>
                <c:pt idx="10">
                  <c:v>636.36102094320006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254.54440837728001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7-45D3-928C-1F303F7F9F92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Planungsleiter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Personaleinsatzplan!$F$8:$V$8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Personaleinsatzplan!$F$11:$V$11</c:f>
              <c:numCache>
                <c:formatCode>#\ ##0\ "€"</c:formatCode>
                <c:ptCount val="17"/>
                <c:pt idx="0">
                  <c:v>1537.8724672794001</c:v>
                </c:pt>
                <c:pt idx="1">
                  <c:v>6151.4898691176004</c:v>
                </c:pt>
                <c:pt idx="2">
                  <c:v>6151.4898691176004</c:v>
                </c:pt>
                <c:pt idx="3">
                  <c:v>6151.4898691176004</c:v>
                </c:pt>
                <c:pt idx="4">
                  <c:v>5382.5536354778997</c:v>
                </c:pt>
                <c:pt idx="5">
                  <c:v>5382.5536354778997</c:v>
                </c:pt>
                <c:pt idx="6">
                  <c:v>5382.5536354778997</c:v>
                </c:pt>
                <c:pt idx="7">
                  <c:v>4613.6174018381998</c:v>
                </c:pt>
                <c:pt idx="8">
                  <c:v>768.93623363970005</c:v>
                </c:pt>
                <c:pt idx="9">
                  <c:v>768.93623363970005</c:v>
                </c:pt>
                <c:pt idx="10">
                  <c:v>768.93623363970005</c:v>
                </c:pt>
                <c:pt idx="11">
                  <c:v>307.57449345588003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307.57449345588003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7-45D3-928C-1F303F7F9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61490312"/>
        <c:axId val="1"/>
      </c:barChart>
      <c:catAx>
        <c:axId val="36149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layout>
            <c:manualLayout>
              <c:xMode val="edge"/>
              <c:yMode val="edge"/>
              <c:x val="1.4349449309490519E-2"/>
              <c:y val="0.33715692472747477"/>
            </c:manualLayout>
          </c:layout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1490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Personaleinsatzplan!$F$8:$V$8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Personaleinsatzplan!$F$16:$V$16</c:f>
              <c:numCache>
                <c:formatCode>0</c:formatCode>
                <c:ptCount val="17"/>
                <c:pt idx="0">
                  <c:v>4.1977499999999992</c:v>
                </c:pt>
                <c:pt idx="1">
                  <c:v>6.9962499999999999</c:v>
                </c:pt>
                <c:pt idx="2">
                  <c:v>6.9962499999999999</c:v>
                </c:pt>
                <c:pt idx="3">
                  <c:v>6.9962499999999999</c:v>
                </c:pt>
                <c:pt idx="4">
                  <c:v>6.9962499999999999</c:v>
                </c:pt>
                <c:pt idx="5">
                  <c:v>6.9962499999999999</c:v>
                </c:pt>
                <c:pt idx="6">
                  <c:v>6.9962499999999999</c:v>
                </c:pt>
                <c:pt idx="7">
                  <c:v>6.9962499999999999</c:v>
                </c:pt>
                <c:pt idx="8">
                  <c:v>2.7984999999999998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2.7984999999999998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A-4E46-8EC2-DB6AFDAF0495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Personaleinsatzplan!$F$8:$V$8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Personaleinsatzplan!$F$13:$V$13</c:f>
              <c:numCache>
                <c:formatCode>0</c:formatCode>
                <c:ptCount val="17"/>
                <c:pt idx="0">
                  <c:v>6.9962499999999999</c:v>
                </c:pt>
                <c:pt idx="1">
                  <c:v>55.97</c:v>
                </c:pt>
                <c:pt idx="2">
                  <c:v>62.966249999999995</c:v>
                </c:pt>
                <c:pt idx="3">
                  <c:v>62.966249999999995</c:v>
                </c:pt>
                <c:pt idx="4">
                  <c:v>20.988749999999996</c:v>
                </c:pt>
                <c:pt idx="5">
                  <c:v>20.988749999999996</c:v>
                </c:pt>
                <c:pt idx="6">
                  <c:v>20.988749999999996</c:v>
                </c:pt>
                <c:pt idx="7">
                  <c:v>13.9925</c:v>
                </c:pt>
                <c:pt idx="8">
                  <c:v>13.9925</c:v>
                </c:pt>
                <c:pt idx="9">
                  <c:v>13.9925</c:v>
                </c:pt>
                <c:pt idx="10">
                  <c:v>6.9962499999999999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2.7984999999999998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A-4E46-8EC2-DB6AFDAF0495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  <c:pt idx="0">
                  <c:v>Planungsleiter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Personaleinsatzplan!$F$8:$V$8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Personaleinsatzplan!$F$10:$V$10</c:f>
              <c:numCache>
                <c:formatCode>0</c:formatCode>
                <c:ptCount val="17"/>
                <c:pt idx="0">
                  <c:v>13.9925</c:v>
                </c:pt>
                <c:pt idx="1">
                  <c:v>55.97</c:v>
                </c:pt>
                <c:pt idx="2">
                  <c:v>55.97</c:v>
                </c:pt>
                <c:pt idx="3">
                  <c:v>55.97</c:v>
                </c:pt>
                <c:pt idx="4">
                  <c:v>48.973749999999988</c:v>
                </c:pt>
                <c:pt idx="5">
                  <c:v>48.973749999999988</c:v>
                </c:pt>
                <c:pt idx="6">
                  <c:v>48.973749999999988</c:v>
                </c:pt>
                <c:pt idx="7">
                  <c:v>41.977499999999992</c:v>
                </c:pt>
                <c:pt idx="8">
                  <c:v>6.9962499999999999</c:v>
                </c:pt>
                <c:pt idx="9">
                  <c:v>6.9962499999999999</c:v>
                </c:pt>
                <c:pt idx="10">
                  <c:v>6.9962499999999999</c:v>
                </c:pt>
                <c:pt idx="11">
                  <c:v>2.7984999999999998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2.7984999999999998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A-4E46-8EC2-DB6AFDAF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62330800"/>
        <c:axId val="1"/>
      </c:barChart>
      <c:catAx>
        <c:axId val="36233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layout>
            <c:manualLayout>
              <c:xMode val="edge"/>
              <c:yMode val="edge"/>
              <c:x val="1.4311183064733732E-2"/>
              <c:y val="0.3137115948741701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2330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 über die Dauer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  <c:pt idx="0">
                  <c:v>Planungsleiter</c:v>
                </c:pt>
              </c:strCache>
            </c:strRef>
          </c:tx>
          <c:invertIfNegative val="0"/>
          <c:val>
            <c:numRef>
              <c:f>Personaleinsatzplan!$F$9:$V$9</c:f>
              <c:numCache>
                <c:formatCode>0%</c:formatCode>
                <c:ptCount val="17"/>
                <c:pt idx="0">
                  <c:v>0.1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0.35</c:v>
                </c:pt>
                <c:pt idx="5">
                  <c:v>0.35</c:v>
                </c:pt>
                <c:pt idx="6">
                  <c:v>0.35</c:v>
                </c:pt>
                <c:pt idx="7">
                  <c:v>0.3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3-4706-BAD9-6B94C74B0396}"/>
            </c:ext>
          </c:extLst>
        </c:ser>
        <c:ser>
          <c:idx val="1"/>
          <c:order val="1"/>
          <c:tx>
            <c:v>Techniker</c:v>
          </c:tx>
          <c:invertIfNegative val="0"/>
          <c:val>
            <c:numRef>
              <c:f>Personaleinsatzplan!$F$12:$V$12</c:f>
              <c:numCache>
                <c:formatCode>0%</c:formatCode>
                <c:ptCount val="17"/>
                <c:pt idx="0">
                  <c:v>0.05</c:v>
                </c:pt>
                <c:pt idx="1">
                  <c:v>0.4</c:v>
                </c:pt>
                <c:pt idx="2">
                  <c:v>0.45</c:v>
                </c:pt>
                <c:pt idx="3">
                  <c:v>0.45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3-4706-BAD9-6B94C74B0396}"/>
            </c:ext>
          </c:extLst>
        </c:ser>
        <c:ser>
          <c:idx val="0"/>
          <c:order val="2"/>
          <c:tx>
            <c:v>Sekretariat</c:v>
          </c:tx>
          <c:invertIfNegative val="0"/>
          <c:val>
            <c:numRef>
              <c:f>Personaleinsatzplan!$F$15:$V$15</c:f>
              <c:numCache>
                <c:formatCode>0%</c:formatCode>
                <c:ptCount val="17"/>
                <c:pt idx="0">
                  <c:v>0.03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3-4706-BAD9-6B94C74B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62329488"/>
        <c:axId val="1"/>
      </c:barChart>
      <c:catAx>
        <c:axId val="36232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62329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9525</xdr:rowOff>
    </xdr:from>
    <xdr:to>
      <xdr:col>11</xdr:col>
      <xdr:colOff>0</xdr:colOff>
      <xdr:row>4</xdr:row>
      <xdr:rowOff>152400</xdr:rowOff>
    </xdr:to>
    <xdr:sp macro="" textlink="">
      <xdr:nvSpPr>
        <xdr:cNvPr id="1534301" name="AutoShape 1">
          <a:extLst>
            <a:ext uri="{FF2B5EF4-FFF2-40B4-BE49-F238E27FC236}">
              <a16:creationId xmlns:a16="http://schemas.microsoft.com/office/drawing/2014/main" id="{00000000-0008-0000-0300-00005D691700}"/>
            </a:ext>
          </a:extLst>
        </xdr:cNvPr>
        <xdr:cNvSpPr>
          <a:spLocks noChangeArrowheads="1"/>
        </xdr:cNvSpPr>
      </xdr:nvSpPr>
      <xdr:spPr bwMode="auto">
        <a:xfrm>
          <a:off x="567690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11</xdr:row>
      <xdr:rowOff>9525</xdr:rowOff>
    </xdr:from>
    <xdr:to>
      <xdr:col>11</xdr:col>
      <xdr:colOff>0</xdr:colOff>
      <xdr:row>11</xdr:row>
      <xdr:rowOff>152400</xdr:rowOff>
    </xdr:to>
    <xdr:sp macro="" textlink="">
      <xdr:nvSpPr>
        <xdr:cNvPr id="1534302" name="AutoShape 2">
          <a:extLst>
            <a:ext uri="{FF2B5EF4-FFF2-40B4-BE49-F238E27FC236}">
              <a16:creationId xmlns:a16="http://schemas.microsoft.com/office/drawing/2014/main" id="{00000000-0008-0000-0300-00005E691700}"/>
            </a:ext>
          </a:extLst>
        </xdr:cNvPr>
        <xdr:cNvSpPr>
          <a:spLocks noChangeArrowheads="1"/>
        </xdr:cNvSpPr>
      </xdr:nvSpPr>
      <xdr:spPr bwMode="auto">
        <a:xfrm>
          <a:off x="5676900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5</xdr:row>
      <xdr:rowOff>9525</xdr:rowOff>
    </xdr:from>
    <xdr:to>
      <xdr:col>11</xdr:col>
      <xdr:colOff>0</xdr:colOff>
      <xdr:row>5</xdr:row>
      <xdr:rowOff>152400</xdr:rowOff>
    </xdr:to>
    <xdr:sp macro="" textlink="">
      <xdr:nvSpPr>
        <xdr:cNvPr id="1534303" name="AutoShape 4">
          <a:extLst>
            <a:ext uri="{FF2B5EF4-FFF2-40B4-BE49-F238E27FC236}">
              <a16:creationId xmlns:a16="http://schemas.microsoft.com/office/drawing/2014/main" id="{00000000-0008-0000-0300-00005F691700}"/>
            </a:ext>
          </a:extLst>
        </xdr:cNvPr>
        <xdr:cNvSpPr>
          <a:spLocks noChangeArrowheads="1"/>
        </xdr:cNvSpPr>
      </xdr:nvSpPr>
      <xdr:spPr bwMode="auto">
        <a:xfrm>
          <a:off x="567690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6</xdr:row>
      <xdr:rowOff>19050</xdr:rowOff>
    </xdr:from>
    <xdr:to>
      <xdr:col>11</xdr:col>
      <xdr:colOff>0</xdr:colOff>
      <xdr:row>7</xdr:row>
      <xdr:rowOff>0</xdr:rowOff>
    </xdr:to>
    <xdr:sp macro="" textlink="">
      <xdr:nvSpPr>
        <xdr:cNvPr id="1534304" name="AutoShape 5">
          <a:extLst>
            <a:ext uri="{FF2B5EF4-FFF2-40B4-BE49-F238E27FC236}">
              <a16:creationId xmlns:a16="http://schemas.microsoft.com/office/drawing/2014/main" id="{00000000-0008-0000-0300-000060691700}"/>
            </a:ext>
          </a:extLst>
        </xdr:cNvPr>
        <xdr:cNvSpPr>
          <a:spLocks noChangeArrowheads="1"/>
        </xdr:cNvSpPr>
      </xdr:nvSpPr>
      <xdr:spPr bwMode="auto">
        <a:xfrm>
          <a:off x="567690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1534305" name="AutoShape 6">
          <a:extLst>
            <a:ext uri="{FF2B5EF4-FFF2-40B4-BE49-F238E27FC236}">
              <a16:creationId xmlns:a16="http://schemas.microsoft.com/office/drawing/2014/main" id="{00000000-0008-0000-0300-000061691700}"/>
            </a:ext>
          </a:extLst>
        </xdr:cNvPr>
        <xdr:cNvSpPr>
          <a:spLocks noChangeArrowheads="1"/>
        </xdr:cNvSpPr>
      </xdr:nvSpPr>
      <xdr:spPr bwMode="auto">
        <a:xfrm>
          <a:off x="5676900" y="260032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</xdr:row>
      <xdr:rowOff>47625</xdr:rowOff>
    </xdr:from>
    <xdr:to>
      <xdr:col>11</xdr:col>
      <xdr:colOff>0</xdr:colOff>
      <xdr:row>1</xdr:row>
      <xdr:rowOff>314325</xdr:rowOff>
    </xdr:to>
    <xdr:sp macro="" textlink="">
      <xdr:nvSpPr>
        <xdr:cNvPr id="18439" name="AutoShape 7">
          <a:extLst>
            <a:ext uri="{FF2B5EF4-FFF2-40B4-BE49-F238E27FC236}">
              <a16:creationId xmlns:a16="http://schemas.microsoft.com/office/drawing/2014/main" id="{00000000-0008-0000-0300-000007480000}"/>
            </a:ext>
          </a:extLst>
        </xdr:cNvPr>
        <xdr:cNvSpPr>
          <a:spLocks noChangeArrowheads="1"/>
        </xdr:cNvSpPr>
      </xdr:nvSpPr>
      <xdr:spPr bwMode="auto">
        <a:xfrm>
          <a:off x="4600575" y="523875"/>
          <a:ext cx="714375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11</xdr:col>
      <xdr:colOff>9525</xdr:colOff>
      <xdr:row>1</xdr:row>
      <xdr:rowOff>47625</xdr:rowOff>
    </xdr:from>
    <xdr:to>
      <xdr:col>18</xdr:col>
      <xdr:colOff>526676</xdr:colOff>
      <xdr:row>1</xdr:row>
      <xdr:rowOff>313765</xdr:rowOff>
    </xdr:to>
    <xdr:sp macro="" textlink="">
      <xdr:nvSpPr>
        <xdr:cNvPr id="18440" name="AutoShape 8">
          <a:extLst>
            <a:ext uri="{FF2B5EF4-FFF2-40B4-BE49-F238E27FC236}">
              <a16:creationId xmlns:a16="http://schemas.microsoft.com/office/drawing/2014/main" id="{00000000-0008-0000-0300-000008480000}"/>
            </a:ext>
          </a:extLst>
        </xdr:cNvPr>
        <xdr:cNvSpPr>
          <a:spLocks noChangeArrowheads="1"/>
        </xdr:cNvSpPr>
      </xdr:nvSpPr>
      <xdr:spPr bwMode="auto">
        <a:xfrm>
          <a:off x="5926231" y="529478"/>
          <a:ext cx="3027269" cy="26614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18</xdr:col>
      <xdr:colOff>0</xdr:colOff>
      <xdr:row>4</xdr:row>
      <xdr:rowOff>9525</xdr:rowOff>
    </xdr:from>
    <xdr:to>
      <xdr:col>18</xdr:col>
      <xdr:colOff>0</xdr:colOff>
      <xdr:row>4</xdr:row>
      <xdr:rowOff>152400</xdr:rowOff>
    </xdr:to>
    <xdr:sp macro="" textlink="">
      <xdr:nvSpPr>
        <xdr:cNvPr id="1534309" name="AutoShape 10">
          <a:extLst>
            <a:ext uri="{FF2B5EF4-FFF2-40B4-BE49-F238E27FC236}">
              <a16:creationId xmlns:a16="http://schemas.microsoft.com/office/drawing/2014/main" id="{00000000-0008-0000-0300-000065691700}"/>
            </a:ext>
          </a:extLst>
        </xdr:cNvPr>
        <xdr:cNvSpPr>
          <a:spLocks noChangeArrowheads="1"/>
        </xdr:cNvSpPr>
      </xdr:nvSpPr>
      <xdr:spPr bwMode="auto">
        <a:xfrm>
          <a:off x="821055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10</xdr:row>
      <xdr:rowOff>152400</xdr:rowOff>
    </xdr:to>
    <xdr:sp macro="" textlink="">
      <xdr:nvSpPr>
        <xdr:cNvPr id="1534310" name="AutoShape 11">
          <a:extLst>
            <a:ext uri="{FF2B5EF4-FFF2-40B4-BE49-F238E27FC236}">
              <a16:creationId xmlns:a16="http://schemas.microsoft.com/office/drawing/2014/main" id="{00000000-0008-0000-0300-000066691700}"/>
            </a:ext>
          </a:extLst>
        </xdr:cNvPr>
        <xdr:cNvSpPr>
          <a:spLocks noChangeArrowheads="1"/>
        </xdr:cNvSpPr>
      </xdr:nvSpPr>
      <xdr:spPr bwMode="auto">
        <a:xfrm>
          <a:off x="8210550" y="2286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11</xdr:row>
      <xdr:rowOff>9525</xdr:rowOff>
    </xdr:from>
    <xdr:to>
      <xdr:col>18</xdr:col>
      <xdr:colOff>0</xdr:colOff>
      <xdr:row>11</xdr:row>
      <xdr:rowOff>152400</xdr:rowOff>
    </xdr:to>
    <xdr:sp macro="" textlink="">
      <xdr:nvSpPr>
        <xdr:cNvPr id="1534311" name="AutoShape 12">
          <a:extLst>
            <a:ext uri="{FF2B5EF4-FFF2-40B4-BE49-F238E27FC236}">
              <a16:creationId xmlns:a16="http://schemas.microsoft.com/office/drawing/2014/main" id="{00000000-0008-0000-0300-000067691700}"/>
            </a:ext>
          </a:extLst>
        </xdr:cNvPr>
        <xdr:cNvSpPr>
          <a:spLocks noChangeArrowheads="1"/>
        </xdr:cNvSpPr>
      </xdr:nvSpPr>
      <xdr:spPr bwMode="auto">
        <a:xfrm>
          <a:off x="8210550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5</xdr:row>
      <xdr:rowOff>9525</xdr:rowOff>
    </xdr:from>
    <xdr:to>
      <xdr:col>18</xdr:col>
      <xdr:colOff>0</xdr:colOff>
      <xdr:row>5</xdr:row>
      <xdr:rowOff>152400</xdr:rowOff>
    </xdr:to>
    <xdr:sp macro="" textlink="">
      <xdr:nvSpPr>
        <xdr:cNvPr id="1534312" name="AutoShape 13">
          <a:extLst>
            <a:ext uri="{FF2B5EF4-FFF2-40B4-BE49-F238E27FC236}">
              <a16:creationId xmlns:a16="http://schemas.microsoft.com/office/drawing/2014/main" id="{00000000-0008-0000-0300-000068691700}"/>
            </a:ext>
          </a:extLst>
        </xdr:cNvPr>
        <xdr:cNvSpPr>
          <a:spLocks noChangeArrowheads="1"/>
        </xdr:cNvSpPr>
      </xdr:nvSpPr>
      <xdr:spPr bwMode="auto">
        <a:xfrm>
          <a:off x="821055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19050</xdr:rowOff>
    </xdr:from>
    <xdr:to>
      <xdr:col>18</xdr:col>
      <xdr:colOff>0</xdr:colOff>
      <xdr:row>7</xdr:row>
      <xdr:rowOff>0</xdr:rowOff>
    </xdr:to>
    <xdr:sp macro="" textlink="">
      <xdr:nvSpPr>
        <xdr:cNvPr id="1534313" name="AutoShape 14">
          <a:extLst>
            <a:ext uri="{FF2B5EF4-FFF2-40B4-BE49-F238E27FC236}">
              <a16:creationId xmlns:a16="http://schemas.microsoft.com/office/drawing/2014/main" id="{00000000-0008-0000-0300-000069691700}"/>
            </a:ext>
          </a:extLst>
        </xdr:cNvPr>
        <xdr:cNvSpPr>
          <a:spLocks noChangeArrowheads="1"/>
        </xdr:cNvSpPr>
      </xdr:nvSpPr>
      <xdr:spPr bwMode="auto">
        <a:xfrm>
          <a:off x="821055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9525</xdr:rowOff>
    </xdr:from>
    <xdr:to>
      <xdr:col>18</xdr:col>
      <xdr:colOff>0</xdr:colOff>
      <xdr:row>7</xdr:row>
      <xdr:rowOff>152400</xdr:rowOff>
    </xdr:to>
    <xdr:sp macro="" textlink="">
      <xdr:nvSpPr>
        <xdr:cNvPr id="1534314" name="AutoShape 15">
          <a:extLst>
            <a:ext uri="{FF2B5EF4-FFF2-40B4-BE49-F238E27FC236}">
              <a16:creationId xmlns:a16="http://schemas.microsoft.com/office/drawing/2014/main" id="{00000000-0008-0000-0300-00006A691700}"/>
            </a:ext>
          </a:extLst>
        </xdr:cNvPr>
        <xdr:cNvSpPr>
          <a:spLocks noChangeArrowheads="1"/>
        </xdr:cNvSpPr>
      </xdr:nvSpPr>
      <xdr:spPr bwMode="auto">
        <a:xfrm>
          <a:off x="8210550" y="18002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9525</xdr:rowOff>
    </xdr:from>
    <xdr:to>
      <xdr:col>18</xdr:col>
      <xdr:colOff>0</xdr:colOff>
      <xdr:row>8</xdr:row>
      <xdr:rowOff>152400</xdr:rowOff>
    </xdr:to>
    <xdr:sp macro="" textlink="">
      <xdr:nvSpPr>
        <xdr:cNvPr id="1534315" name="AutoShape 16">
          <a:extLst>
            <a:ext uri="{FF2B5EF4-FFF2-40B4-BE49-F238E27FC236}">
              <a16:creationId xmlns:a16="http://schemas.microsoft.com/office/drawing/2014/main" id="{00000000-0008-0000-0300-00006B691700}"/>
            </a:ext>
          </a:extLst>
        </xdr:cNvPr>
        <xdr:cNvSpPr>
          <a:spLocks noChangeArrowheads="1"/>
        </xdr:cNvSpPr>
      </xdr:nvSpPr>
      <xdr:spPr bwMode="auto">
        <a:xfrm>
          <a:off x="8210550" y="19621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9</xdr:row>
      <xdr:rowOff>19050</xdr:rowOff>
    </xdr:from>
    <xdr:to>
      <xdr:col>18</xdr:col>
      <xdr:colOff>0</xdr:colOff>
      <xdr:row>10</xdr:row>
      <xdr:rowOff>0</xdr:rowOff>
    </xdr:to>
    <xdr:sp macro="" textlink="">
      <xdr:nvSpPr>
        <xdr:cNvPr id="1534316" name="AutoShape 17">
          <a:extLst>
            <a:ext uri="{FF2B5EF4-FFF2-40B4-BE49-F238E27FC236}">
              <a16:creationId xmlns:a16="http://schemas.microsoft.com/office/drawing/2014/main" id="{00000000-0008-0000-0300-00006C691700}"/>
            </a:ext>
          </a:extLst>
        </xdr:cNvPr>
        <xdr:cNvSpPr>
          <a:spLocks noChangeArrowheads="1"/>
        </xdr:cNvSpPr>
      </xdr:nvSpPr>
      <xdr:spPr bwMode="auto">
        <a:xfrm>
          <a:off x="8210550" y="21336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0</xdr:colOff>
      <xdr:row>13</xdr:row>
      <xdr:rowOff>0</xdr:rowOff>
    </xdr:to>
    <xdr:sp macro="" textlink="">
      <xdr:nvSpPr>
        <xdr:cNvPr id="1534317" name="AutoShape 20">
          <a:extLst>
            <a:ext uri="{FF2B5EF4-FFF2-40B4-BE49-F238E27FC236}">
              <a16:creationId xmlns:a16="http://schemas.microsoft.com/office/drawing/2014/main" id="{00000000-0008-0000-0300-00006D691700}"/>
            </a:ext>
          </a:extLst>
        </xdr:cNvPr>
        <xdr:cNvSpPr>
          <a:spLocks noChangeArrowheads="1"/>
        </xdr:cNvSpPr>
      </xdr:nvSpPr>
      <xdr:spPr bwMode="auto">
        <a:xfrm>
          <a:off x="8210550" y="260032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3</xdr:col>
      <xdr:colOff>628650</xdr:colOff>
      <xdr:row>1</xdr:row>
      <xdr:rowOff>314325</xdr:rowOff>
    </xdr:to>
    <xdr:sp macro="" textlink="">
      <xdr:nvSpPr>
        <xdr:cNvPr id="18453" name="AutoShape 21">
          <a:extLst>
            <a:ext uri="{FF2B5EF4-FFF2-40B4-BE49-F238E27FC236}">
              <a16:creationId xmlns:a16="http://schemas.microsoft.com/office/drawing/2014/main" id="{00000000-0008-0000-0300-000015480000}"/>
            </a:ext>
          </a:extLst>
        </xdr:cNvPr>
        <xdr:cNvSpPr>
          <a:spLocks noChangeArrowheads="1"/>
        </xdr:cNvSpPr>
      </xdr:nvSpPr>
      <xdr:spPr bwMode="auto">
        <a:xfrm>
          <a:off x="2524125" y="523875"/>
          <a:ext cx="619125" cy="266700"/>
        </a:xfrm>
        <a:prstGeom prst="leftRightArrow">
          <a:avLst>
            <a:gd name="adj1" fmla="val 48574"/>
            <a:gd name="adj2" fmla="val 46837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  <xdr:twoCellAnchor>
    <xdr:from>
      <xdr:col>4</xdr:col>
      <xdr:colOff>9525</xdr:colOff>
      <xdr:row>1</xdr:row>
      <xdr:rowOff>47625</xdr:rowOff>
    </xdr:from>
    <xdr:to>
      <xdr:col>6</xdr:col>
      <xdr:colOff>609600</xdr:colOff>
      <xdr:row>1</xdr:row>
      <xdr:rowOff>314325</xdr:rowOff>
    </xdr:to>
    <xdr:sp macro="" textlink="">
      <xdr:nvSpPr>
        <xdr:cNvPr id="18454" name="AutoShape 22">
          <a:extLst>
            <a:ext uri="{FF2B5EF4-FFF2-40B4-BE49-F238E27FC236}">
              <a16:creationId xmlns:a16="http://schemas.microsoft.com/office/drawing/2014/main" id="{00000000-0008-0000-0300-000016480000}"/>
            </a:ext>
          </a:extLst>
        </xdr:cNvPr>
        <xdr:cNvSpPr>
          <a:spLocks noChangeArrowheads="1"/>
        </xdr:cNvSpPr>
      </xdr:nvSpPr>
      <xdr:spPr bwMode="auto">
        <a:xfrm>
          <a:off x="3152775" y="523875"/>
          <a:ext cx="14382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11</xdr:col>
      <xdr:colOff>0</xdr:colOff>
      <xdr:row>13</xdr:row>
      <xdr:rowOff>9525</xdr:rowOff>
    </xdr:from>
    <xdr:to>
      <xdr:col>11</xdr:col>
      <xdr:colOff>0</xdr:colOff>
      <xdr:row>13</xdr:row>
      <xdr:rowOff>152400</xdr:rowOff>
    </xdr:to>
    <xdr:sp macro="" textlink="">
      <xdr:nvSpPr>
        <xdr:cNvPr id="1534320" name="AutoShape 23">
          <a:extLst>
            <a:ext uri="{FF2B5EF4-FFF2-40B4-BE49-F238E27FC236}">
              <a16:creationId xmlns:a16="http://schemas.microsoft.com/office/drawing/2014/main" id="{00000000-0008-0000-0300-000070691700}"/>
            </a:ext>
          </a:extLst>
        </xdr:cNvPr>
        <xdr:cNvSpPr>
          <a:spLocks noChangeArrowheads="1"/>
        </xdr:cNvSpPr>
      </xdr:nvSpPr>
      <xdr:spPr bwMode="auto">
        <a:xfrm>
          <a:off x="5676900" y="2609850"/>
          <a:ext cx="0" cy="142875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1534324" name="AutoShape 27">
          <a:extLst>
            <a:ext uri="{FF2B5EF4-FFF2-40B4-BE49-F238E27FC236}">
              <a16:creationId xmlns:a16="http://schemas.microsoft.com/office/drawing/2014/main" id="{00000000-0008-0000-0300-000074691700}"/>
            </a:ext>
          </a:extLst>
        </xdr:cNvPr>
        <xdr:cNvSpPr>
          <a:spLocks noChangeArrowheads="1"/>
        </xdr:cNvSpPr>
      </xdr:nvSpPr>
      <xdr:spPr bwMode="auto">
        <a:xfrm>
          <a:off x="5676900" y="30480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0</xdr:colOff>
      <xdr:row>14</xdr:row>
      <xdr:rowOff>0</xdr:rowOff>
    </xdr:to>
    <xdr:sp macro="" textlink="">
      <xdr:nvSpPr>
        <xdr:cNvPr id="1534325" name="AutoShape 28">
          <a:extLst>
            <a:ext uri="{FF2B5EF4-FFF2-40B4-BE49-F238E27FC236}">
              <a16:creationId xmlns:a16="http://schemas.microsoft.com/office/drawing/2014/main" id="{00000000-0008-0000-0300-000075691700}"/>
            </a:ext>
          </a:extLst>
        </xdr:cNvPr>
        <xdr:cNvSpPr>
          <a:spLocks noChangeArrowheads="1"/>
        </xdr:cNvSpPr>
      </xdr:nvSpPr>
      <xdr:spPr bwMode="auto">
        <a:xfrm>
          <a:off x="8210550" y="30480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1534326" name="AutoShape 29">
          <a:extLst>
            <a:ext uri="{FF2B5EF4-FFF2-40B4-BE49-F238E27FC236}">
              <a16:creationId xmlns:a16="http://schemas.microsoft.com/office/drawing/2014/main" id="{00000000-0008-0000-0300-000076691700}"/>
            </a:ext>
          </a:extLst>
        </xdr:cNvPr>
        <xdr:cNvSpPr>
          <a:spLocks noChangeArrowheads="1"/>
        </xdr:cNvSpPr>
      </xdr:nvSpPr>
      <xdr:spPr bwMode="auto">
        <a:xfrm>
          <a:off x="5676900" y="30480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0</xdr:colOff>
      <xdr:row>14</xdr:row>
      <xdr:rowOff>0</xdr:rowOff>
    </xdr:to>
    <xdr:sp macro="" textlink="">
      <xdr:nvSpPr>
        <xdr:cNvPr id="1534327" name="AutoShape 30">
          <a:extLst>
            <a:ext uri="{FF2B5EF4-FFF2-40B4-BE49-F238E27FC236}">
              <a16:creationId xmlns:a16="http://schemas.microsoft.com/office/drawing/2014/main" id="{00000000-0008-0000-0300-000077691700}"/>
            </a:ext>
          </a:extLst>
        </xdr:cNvPr>
        <xdr:cNvSpPr>
          <a:spLocks noChangeArrowheads="1"/>
        </xdr:cNvSpPr>
      </xdr:nvSpPr>
      <xdr:spPr bwMode="auto">
        <a:xfrm>
          <a:off x="8210550" y="304800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47625</xdr:rowOff>
    </xdr:from>
    <xdr:to>
      <xdr:col>19</xdr:col>
      <xdr:colOff>593481</xdr:colOff>
      <xdr:row>1</xdr:row>
      <xdr:rowOff>314325</xdr:rowOff>
    </xdr:to>
    <xdr:sp macro="" textlink="">
      <xdr:nvSpPr>
        <xdr:cNvPr id="26" name="AutoShape 9">
          <a:extLst>
            <a:ext uri="{FF2B5EF4-FFF2-40B4-BE49-F238E27FC236}">
              <a16:creationId xmlns:a16="http://schemas.microsoft.com/office/drawing/2014/main" id="{20B90806-AAC0-4CB8-9C70-0ADD619A36C1}"/>
            </a:ext>
          </a:extLst>
        </xdr:cNvPr>
        <xdr:cNvSpPr>
          <a:spLocks noChangeArrowheads="1"/>
        </xdr:cNvSpPr>
      </xdr:nvSpPr>
      <xdr:spPr bwMode="auto">
        <a:xfrm>
          <a:off x="8426824" y="529478"/>
          <a:ext cx="536331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6663" name="Picture 1" descr="Logo WKO-Bundesinnung Bau">
          <a:extLst>
            <a:ext uri="{FF2B5EF4-FFF2-40B4-BE49-F238E27FC236}">
              <a16:creationId xmlns:a16="http://schemas.microsoft.com/office/drawing/2014/main" id="{00000000-0008-0000-0400-000017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39</xdr:row>
      <xdr:rowOff>19050</xdr:rowOff>
    </xdr:from>
    <xdr:to>
      <xdr:col>22</xdr:col>
      <xdr:colOff>161925</xdr:colOff>
      <xdr:row>55</xdr:row>
      <xdr:rowOff>47625</xdr:rowOff>
    </xdr:to>
    <xdr:graphicFrame macro="">
      <xdr:nvGraphicFramePr>
        <xdr:cNvPr id="154335" name="Diagramm 1">
          <a:extLst>
            <a:ext uri="{FF2B5EF4-FFF2-40B4-BE49-F238E27FC236}">
              <a16:creationId xmlns:a16="http://schemas.microsoft.com/office/drawing/2014/main" id="{00000000-0008-0000-0700-0000DF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56</xdr:row>
      <xdr:rowOff>66675</xdr:rowOff>
    </xdr:from>
    <xdr:to>
      <xdr:col>22</xdr:col>
      <xdr:colOff>161925</xdr:colOff>
      <xdr:row>72</xdr:row>
      <xdr:rowOff>76200</xdr:rowOff>
    </xdr:to>
    <xdr:graphicFrame macro="">
      <xdr:nvGraphicFramePr>
        <xdr:cNvPr id="154336" name="Diagramm 2">
          <a:extLst>
            <a:ext uri="{FF2B5EF4-FFF2-40B4-BE49-F238E27FC236}">
              <a16:creationId xmlns:a16="http://schemas.microsoft.com/office/drawing/2014/main" id="{00000000-0008-0000-0700-0000E0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73</xdr:row>
      <xdr:rowOff>85725</xdr:rowOff>
    </xdr:from>
    <xdr:to>
      <xdr:col>22</xdr:col>
      <xdr:colOff>161925</xdr:colOff>
      <xdr:row>89</xdr:row>
      <xdr:rowOff>104775</xdr:rowOff>
    </xdr:to>
    <xdr:graphicFrame macro="">
      <xdr:nvGraphicFramePr>
        <xdr:cNvPr id="154337" name="Diagramm 5">
          <a:extLst>
            <a:ext uri="{FF2B5EF4-FFF2-40B4-BE49-F238E27FC236}">
              <a16:creationId xmlns:a16="http://schemas.microsoft.com/office/drawing/2014/main" id="{00000000-0008-0000-0700-0000E1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35</xdr:row>
      <xdr:rowOff>156882</xdr:rowOff>
    </xdr:from>
    <xdr:to>
      <xdr:col>10</xdr:col>
      <xdr:colOff>0</xdr:colOff>
      <xdr:row>37</xdr:row>
      <xdr:rowOff>19050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366062" y="6577853"/>
          <a:ext cx="603997" cy="27678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45</xdr:row>
      <xdr:rowOff>161925</xdr:rowOff>
    </xdr:from>
    <xdr:to>
      <xdr:col>10</xdr:col>
      <xdr:colOff>0</xdr:colOff>
      <xdr:row>47</xdr:row>
      <xdr:rowOff>28575</xdr:rowOff>
    </xdr:to>
    <xdr:sp macro="" textlink="">
      <xdr:nvSpPr>
        <xdr:cNvPr id="12" name="Abgerundetes Rechteck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6353175" y="8201025"/>
          <a:ext cx="600075" cy="27622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65209</xdr:colOff>
      <xdr:row>57</xdr:row>
      <xdr:rowOff>154599</xdr:rowOff>
    </xdr:from>
    <xdr:to>
      <xdr:col>6</xdr:col>
      <xdr:colOff>627184</xdr:colOff>
      <xdr:row>59</xdr:row>
      <xdr:rowOff>11207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119062" y="11214805"/>
          <a:ext cx="561975" cy="237608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67407</xdr:colOff>
      <xdr:row>49</xdr:row>
      <xdr:rowOff>166322</xdr:rowOff>
    </xdr:from>
    <xdr:to>
      <xdr:col>6</xdr:col>
      <xdr:colOff>619857</xdr:colOff>
      <xdr:row>51</xdr:row>
      <xdr:rowOff>28576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5096607" y="9386522"/>
          <a:ext cx="552450" cy="22420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41</xdr:row>
      <xdr:rowOff>160244</xdr:rowOff>
    </xdr:from>
    <xdr:to>
      <xdr:col>6</xdr:col>
      <xdr:colOff>618564</xdr:colOff>
      <xdr:row>43</xdr:row>
      <xdr:rowOff>0</xdr:rowOff>
    </xdr:to>
    <xdr:sp macro="" textlink="">
      <xdr:nvSpPr>
        <xdr:cNvPr id="15" name="Abgerundetes Rechteck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5110442" y="7668185"/>
          <a:ext cx="561975" cy="220756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53</xdr:row>
      <xdr:rowOff>142875</xdr:rowOff>
    </xdr:from>
    <xdr:to>
      <xdr:col>10</xdr:col>
      <xdr:colOff>0</xdr:colOff>
      <xdr:row>55</xdr:row>
      <xdr:rowOff>47625</xdr:rowOff>
    </xdr:to>
    <xdr:sp macro="" textlink="">
      <xdr:nvSpPr>
        <xdr:cNvPr id="17" name="Abgerundetes Rechteck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5924550" y="67246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25</xdr:row>
      <xdr:rowOff>168089</xdr:rowOff>
    </xdr:from>
    <xdr:to>
      <xdr:col>10</xdr:col>
      <xdr:colOff>0</xdr:colOff>
      <xdr:row>27</xdr:row>
      <xdr:rowOff>19050</xdr:rowOff>
    </xdr:to>
    <xdr:sp macro="" textlink="">
      <xdr:nvSpPr>
        <xdr:cNvPr id="18" name="Abgerundetes Rechteck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6366062" y="4616824"/>
          <a:ext cx="603997" cy="265579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31</xdr:row>
      <xdr:rowOff>171450</xdr:rowOff>
    </xdr:from>
    <xdr:to>
      <xdr:col>6</xdr:col>
      <xdr:colOff>618564</xdr:colOff>
      <xdr:row>33</xdr:row>
      <xdr:rowOff>0</xdr:rowOff>
    </xdr:to>
    <xdr:sp macro="" textlink="">
      <xdr:nvSpPr>
        <xdr:cNvPr id="19" name="Abgerundetes Rechteck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5099236" y="5158068"/>
          <a:ext cx="561975" cy="19834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16</xdr:row>
      <xdr:rowOff>161925</xdr:rowOff>
    </xdr:from>
    <xdr:to>
      <xdr:col>10</xdr:col>
      <xdr:colOff>0</xdr:colOff>
      <xdr:row>18</xdr:row>
      <xdr:rowOff>19050</xdr:rowOff>
    </xdr:to>
    <xdr:sp macro="" textlink="">
      <xdr:nvSpPr>
        <xdr:cNvPr id="20" name="Abgerundetes Rechteck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6366062" y="2929778"/>
          <a:ext cx="603997" cy="260537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20</xdr:row>
      <xdr:rowOff>171450</xdr:rowOff>
    </xdr:from>
    <xdr:to>
      <xdr:col>6</xdr:col>
      <xdr:colOff>618564</xdr:colOff>
      <xdr:row>22</xdr:row>
      <xdr:rowOff>0</xdr:rowOff>
    </xdr:to>
    <xdr:sp macro="" textlink="">
      <xdr:nvSpPr>
        <xdr:cNvPr id="21" name="Abgerundetes Rechteck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5099236" y="3510803"/>
          <a:ext cx="561975" cy="231962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Normal="100" workbookViewId="0">
      <selection activeCell="D31" sqref="D31"/>
    </sheetView>
  </sheetViews>
  <sheetFormatPr baseColWidth="10" defaultRowHeight="13.2" x14ac:dyDescent="0.25"/>
  <cols>
    <col min="1" max="1" width="21.44140625" customWidth="1"/>
    <col min="3" max="3" width="3.6640625" customWidth="1"/>
  </cols>
  <sheetData>
    <row r="1" spans="1:3" ht="17.399999999999999" x14ac:dyDescent="0.3">
      <c r="A1" s="302" t="s">
        <v>197</v>
      </c>
    </row>
    <row r="3" spans="1:3" ht="18" customHeight="1" x14ac:dyDescent="0.25">
      <c r="A3" s="324" t="s">
        <v>195</v>
      </c>
      <c r="B3" s="325">
        <f>Personaleinsatzplan!AU15</f>
        <v>99.674199576000007</v>
      </c>
      <c r="C3" s="326" t="s">
        <v>188</v>
      </c>
    </row>
    <row r="4" spans="1:3" x14ac:dyDescent="0.25">
      <c r="A4" s="324" t="s">
        <v>274</v>
      </c>
      <c r="B4" s="325">
        <f>Personaleinsatzplan!AO21</f>
        <v>53.058509279999996</v>
      </c>
      <c r="C4" s="326" t="s">
        <v>188</v>
      </c>
    </row>
    <row r="5" spans="1:3" x14ac:dyDescent="0.25">
      <c r="A5" s="324" t="s">
        <v>275</v>
      </c>
      <c r="B5" s="325">
        <f>Personaleinsatzplan!AI21</f>
        <v>90.957444480000007</v>
      </c>
      <c r="C5" s="326" t="s">
        <v>188</v>
      </c>
    </row>
    <row r="6" spans="1:3" x14ac:dyDescent="0.25">
      <c r="A6" s="324" t="s">
        <v>276</v>
      </c>
      <c r="B6" s="325">
        <f>Personaleinsatzplan!AC21</f>
        <v>109.90691208000001</v>
      </c>
      <c r="C6" s="326" t="s">
        <v>188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zoomScaleNormal="100" zoomScaleSheetLayoutView="100" workbookViewId="0">
      <selection activeCell="D31" sqref="D31"/>
    </sheetView>
  </sheetViews>
  <sheetFormatPr baseColWidth="10" defaultRowHeight="13.2" x14ac:dyDescent="0.25"/>
  <cols>
    <col min="1" max="1" width="25.6640625" customWidth="1"/>
    <col min="2" max="2" width="16.88671875" customWidth="1"/>
    <col min="3" max="3" width="13.33203125" customWidth="1"/>
    <col min="4" max="4" width="14.88671875" customWidth="1"/>
  </cols>
  <sheetData>
    <row r="1" spans="1:7" ht="17.399999999999999" x14ac:dyDescent="0.3">
      <c r="A1" s="71" t="s">
        <v>196</v>
      </c>
    </row>
    <row r="3" spans="1:7" s="5" customFormat="1" ht="24" customHeight="1" x14ac:dyDescent="0.25">
      <c r="A3" s="327" t="s">
        <v>182</v>
      </c>
      <c r="B3" s="369" t="s">
        <v>277</v>
      </c>
      <c r="C3" s="369"/>
      <c r="D3" s="369"/>
      <c r="E3" s="369"/>
      <c r="F3" s="369"/>
    </row>
    <row r="4" spans="1:7" s="5" customFormat="1" ht="20.100000000000001" customHeight="1" x14ac:dyDescent="0.25">
      <c r="A4" s="328" t="s">
        <v>62</v>
      </c>
      <c r="B4" s="370" t="s">
        <v>278</v>
      </c>
      <c r="C4" s="370"/>
      <c r="D4" s="370"/>
      <c r="E4" s="370"/>
      <c r="F4" s="370"/>
    </row>
    <row r="5" spans="1:7" s="5" customFormat="1" ht="20.100000000000001" customHeight="1" x14ac:dyDescent="0.25">
      <c r="A5" s="329" t="s">
        <v>184</v>
      </c>
      <c r="B5" s="316">
        <v>16</v>
      </c>
      <c r="C5" s="374" t="s">
        <v>147</v>
      </c>
      <c r="D5" s="375"/>
      <c r="E5" s="375"/>
      <c r="F5" s="376"/>
    </row>
    <row r="6" spans="1:7" s="5" customFormat="1" ht="20.100000000000001" customHeight="1" x14ac:dyDescent="0.25">
      <c r="A6" s="330" t="s">
        <v>279</v>
      </c>
      <c r="B6" s="313">
        <v>8000</v>
      </c>
      <c r="C6" s="330" t="s">
        <v>215</v>
      </c>
      <c r="D6" s="330" t="s">
        <v>280</v>
      </c>
      <c r="E6" s="313">
        <v>2500</v>
      </c>
      <c r="F6" s="330" t="s">
        <v>281</v>
      </c>
    </row>
    <row r="7" spans="1:7" s="5" customFormat="1" ht="20.100000000000001" customHeight="1" x14ac:dyDescent="0.25">
      <c r="A7" s="328" t="s">
        <v>185</v>
      </c>
      <c r="B7" s="313">
        <v>599</v>
      </c>
      <c r="C7" s="330" t="s">
        <v>216</v>
      </c>
      <c r="D7" s="328" t="s">
        <v>185</v>
      </c>
      <c r="E7" s="313">
        <v>1905.5</v>
      </c>
      <c r="F7" s="330" t="s">
        <v>282</v>
      </c>
      <c r="G7" s="332"/>
    </row>
    <row r="8" spans="1:7" s="5" customFormat="1" ht="20.100000000000001" customHeight="1" x14ac:dyDescent="0.25">
      <c r="A8" s="328" t="s">
        <v>100</v>
      </c>
      <c r="B8" s="331">
        <f>B6*B7</f>
        <v>4792000</v>
      </c>
      <c r="C8" s="371" t="s">
        <v>183</v>
      </c>
      <c r="D8" s="372"/>
      <c r="E8" s="372"/>
      <c r="F8" s="373"/>
    </row>
  </sheetData>
  <mergeCells count="4">
    <mergeCell ref="B3:F3"/>
    <mergeCell ref="B4:F4"/>
    <mergeCell ref="C8:F8"/>
    <mergeCell ref="C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7"/>
  <sheetViews>
    <sheetView zoomScaleNormal="100" zoomScaleSheetLayoutView="100" workbookViewId="0">
      <selection activeCell="D31" sqref="D31"/>
    </sheetView>
  </sheetViews>
  <sheetFormatPr baseColWidth="10" defaultColWidth="11.44140625" defaultRowHeight="15" x14ac:dyDescent="0.25"/>
  <cols>
    <col min="1" max="1" width="7.5546875" style="43" customWidth="1"/>
    <col min="2" max="2" width="34.109375" style="43" customWidth="1"/>
    <col min="3" max="3" width="1" style="43" customWidth="1"/>
    <col min="4" max="4" width="11" style="43" customWidth="1"/>
    <col min="5" max="5" width="8.5546875" style="43" customWidth="1"/>
    <col min="6" max="6" width="14.44140625" style="43" customWidth="1"/>
    <col min="7" max="7" width="0.88671875" style="43" customWidth="1"/>
    <col min="8" max="8" width="23.5546875" style="43" customWidth="1"/>
    <col min="9" max="9" width="8.5546875" style="43" customWidth="1"/>
    <col min="10" max="16384" width="11.44140625" style="43"/>
  </cols>
  <sheetData>
    <row r="1" spans="1:15" ht="17.399999999999999" x14ac:dyDescent="0.3">
      <c r="A1" s="71" t="s">
        <v>218</v>
      </c>
      <c r="B1" s="42"/>
      <c r="C1" s="42"/>
      <c r="D1" s="42"/>
      <c r="E1" s="42"/>
      <c r="F1" s="42"/>
      <c r="G1" s="42"/>
      <c r="H1" s="42"/>
      <c r="I1" s="42"/>
    </row>
    <row r="2" spans="1:15" ht="8.25" customHeight="1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15" s="34" customFormat="1" ht="15.6" x14ac:dyDescent="0.3">
      <c r="A3" s="33" t="s">
        <v>61</v>
      </c>
      <c r="B3" s="33"/>
      <c r="C3" s="33"/>
      <c r="D3" s="377" t="str">
        <f>Projektannahmen!B3</f>
        <v>20 Wohneinheiten mit Tiefgarage</v>
      </c>
      <c r="E3" s="377"/>
      <c r="F3" s="377"/>
      <c r="G3" s="377"/>
      <c r="H3" s="377"/>
      <c r="I3" s="377"/>
    </row>
    <row r="4" spans="1:15" s="34" customFormat="1" ht="15.6" x14ac:dyDescent="0.3">
      <c r="A4" s="33" t="s">
        <v>62</v>
      </c>
      <c r="B4" s="33"/>
      <c r="C4" s="33"/>
      <c r="D4" s="377" t="str">
        <f>Projektannahmen!B4</f>
        <v>AG 02</v>
      </c>
      <c r="E4" s="377"/>
      <c r="F4" s="377"/>
      <c r="G4" s="377"/>
      <c r="H4" s="377"/>
      <c r="I4" s="377"/>
      <c r="K4" s="85"/>
      <c r="L4" s="85"/>
      <c r="M4" s="85"/>
      <c r="N4" s="85"/>
      <c r="O4" s="85"/>
    </row>
    <row r="5" spans="1:15" s="34" customFormat="1" ht="8.25" customHeight="1" x14ac:dyDescent="0.3">
      <c r="A5" s="33"/>
      <c r="B5" s="33"/>
      <c r="C5" s="33"/>
      <c r="D5" s="33"/>
      <c r="E5" s="33"/>
      <c r="F5" s="33"/>
      <c r="G5" s="42"/>
      <c r="H5" s="42"/>
      <c r="I5" s="33"/>
      <c r="K5" s="85"/>
      <c r="L5" s="85"/>
      <c r="M5" s="85"/>
      <c r="N5" s="85"/>
      <c r="O5" s="85"/>
    </row>
    <row r="6" spans="1:15" s="34" customFormat="1" ht="16.2" thickBot="1" x14ac:dyDescent="0.35">
      <c r="A6" s="33"/>
      <c r="B6" s="33"/>
      <c r="C6" s="33"/>
      <c r="D6" s="378" t="s">
        <v>102</v>
      </c>
      <c r="E6" s="378"/>
      <c r="F6" s="378"/>
      <c r="G6" s="50"/>
      <c r="H6" s="378" t="s">
        <v>103</v>
      </c>
      <c r="I6" s="378"/>
      <c r="K6" s="85"/>
      <c r="L6" s="85"/>
      <c r="M6" s="85"/>
      <c r="N6" s="85"/>
      <c r="O6" s="85"/>
    </row>
    <row r="7" spans="1:15" s="1" customFormat="1" ht="42" thickBot="1" x14ac:dyDescent="0.3">
      <c r="A7" s="67" t="s">
        <v>65</v>
      </c>
      <c r="B7" s="69" t="s">
        <v>66</v>
      </c>
      <c r="C7" s="50"/>
      <c r="D7" s="105" t="s">
        <v>104</v>
      </c>
      <c r="E7" s="68" t="s">
        <v>105</v>
      </c>
      <c r="F7" s="69" t="s">
        <v>75</v>
      </c>
      <c r="G7" s="76"/>
      <c r="H7" s="67" t="s">
        <v>119</v>
      </c>
      <c r="I7" s="69" t="s">
        <v>105</v>
      </c>
      <c r="K7" s="85"/>
      <c r="L7" s="85"/>
      <c r="M7" s="85"/>
      <c r="N7" s="85"/>
      <c r="O7" s="85"/>
    </row>
    <row r="8" spans="1:15" s="52" customFormat="1" ht="8.25" customHeight="1" thickBot="1" x14ac:dyDescent="0.3">
      <c r="A8" s="53"/>
      <c r="B8" s="53"/>
      <c r="C8" s="53"/>
      <c r="D8" s="53"/>
      <c r="E8" s="53"/>
      <c r="F8" s="53"/>
      <c r="G8" s="53"/>
      <c r="H8" s="53"/>
      <c r="I8" s="53"/>
      <c r="K8" s="85"/>
      <c r="L8" s="85"/>
      <c r="M8" s="85"/>
      <c r="N8" s="85"/>
      <c r="O8" s="85"/>
    </row>
    <row r="9" spans="1:15" s="85" customFormat="1" ht="19.5" customHeight="1" thickBot="1" x14ac:dyDescent="0.3">
      <c r="A9" s="63" t="s">
        <v>95</v>
      </c>
      <c r="B9" s="64"/>
      <c r="C9" s="86"/>
      <c r="D9" s="90" t="s">
        <v>106</v>
      </c>
      <c r="E9" s="91"/>
      <c r="F9" s="92">
        <v>1</v>
      </c>
      <c r="G9" s="86"/>
      <c r="H9" s="121"/>
      <c r="I9" s="64"/>
    </row>
    <row r="10" spans="1:15" s="52" customFormat="1" ht="7.5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</row>
    <row r="11" spans="1:15" s="52" customFormat="1" ht="30.75" customHeight="1" x14ac:dyDescent="0.25">
      <c r="A11" s="72" t="s">
        <v>246</v>
      </c>
      <c r="B11" s="73" t="s">
        <v>245</v>
      </c>
      <c r="C11" s="74"/>
      <c r="D11" s="75">
        <v>1</v>
      </c>
      <c r="E11" s="77">
        <v>1</v>
      </c>
      <c r="F11" s="256"/>
      <c r="G11" s="76"/>
      <c r="H11" s="257"/>
      <c r="I11" s="77"/>
    </row>
    <row r="12" spans="1:15" s="52" customFormat="1" ht="30.75" hidden="1" customHeight="1" x14ac:dyDescent="0.25">
      <c r="A12" s="82"/>
      <c r="B12" s="83" t="s">
        <v>74</v>
      </c>
      <c r="C12" s="80"/>
      <c r="D12" s="75"/>
      <c r="E12" s="77"/>
      <c r="F12" s="256"/>
      <c r="G12" s="76"/>
      <c r="H12" s="259"/>
      <c r="I12" s="77"/>
    </row>
    <row r="13" spans="1:15" s="52" customFormat="1" ht="8.25" customHeight="1" thickBot="1" x14ac:dyDescent="0.3">
      <c r="A13" s="53"/>
      <c r="B13" s="53"/>
      <c r="C13" s="53"/>
      <c r="D13" s="53"/>
      <c r="E13" s="53"/>
      <c r="F13" s="53"/>
      <c r="G13" s="53"/>
      <c r="H13" s="53"/>
      <c r="I13" s="53"/>
    </row>
    <row r="14" spans="1:15" s="85" customFormat="1" ht="19.5" customHeight="1" thickBot="1" x14ac:dyDescent="0.3">
      <c r="A14" s="63" t="s">
        <v>96</v>
      </c>
      <c r="B14" s="64"/>
      <c r="C14" s="86"/>
      <c r="D14" s="90" t="str">
        <f>D9</f>
        <v>Dauer d. Phase [Mo]</v>
      </c>
      <c r="E14" s="91"/>
      <c r="F14" s="92">
        <v>3</v>
      </c>
      <c r="G14" s="86"/>
      <c r="H14" s="121"/>
      <c r="I14" s="64"/>
      <c r="K14" s="52"/>
      <c r="L14" s="52"/>
      <c r="M14" s="52"/>
      <c r="N14" s="52"/>
      <c r="O14" s="52"/>
    </row>
    <row r="15" spans="1:15" s="52" customFormat="1" ht="7.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</row>
    <row r="16" spans="1:15" s="52" customFormat="1" ht="30.75" customHeight="1" x14ac:dyDescent="0.25">
      <c r="A16" s="78" t="s">
        <v>247</v>
      </c>
      <c r="B16" s="73" t="s">
        <v>262</v>
      </c>
      <c r="C16" s="74"/>
      <c r="D16" s="75">
        <v>1</v>
      </c>
      <c r="E16" s="77">
        <v>1</v>
      </c>
      <c r="F16" s="256"/>
      <c r="G16" s="76"/>
      <c r="H16" s="257"/>
      <c r="I16" s="77"/>
    </row>
    <row r="17" spans="1:9" s="52" customFormat="1" ht="30.75" customHeight="1" x14ac:dyDescent="0.25">
      <c r="A17" s="78" t="s">
        <v>248</v>
      </c>
      <c r="B17" s="73" t="s">
        <v>263</v>
      </c>
      <c r="C17" s="74"/>
      <c r="D17" s="75">
        <v>1</v>
      </c>
      <c r="E17" s="77">
        <v>1</v>
      </c>
      <c r="F17" s="256"/>
      <c r="G17" s="76"/>
      <c r="H17" s="259"/>
      <c r="I17" s="79"/>
    </row>
    <row r="18" spans="1:9" s="52" customFormat="1" ht="30.75" customHeight="1" x14ac:dyDescent="0.25">
      <c r="A18" s="78" t="s">
        <v>249</v>
      </c>
      <c r="B18" s="73" t="s">
        <v>250</v>
      </c>
      <c r="C18" s="80"/>
      <c r="D18" s="75">
        <v>1</v>
      </c>
      <c r="E18" s="77">
        <v>2</v>
      </c>
      <c r="F18" s="256"/>
      <c r="G18" s="76"/>
      <c r="H18" s="259"/>
      <c r="I18" s="79"/>
    </row>
    <row r="19" spans="1:9" s="52" customFormat="1" ht="30.75" hidden="1" customHeight="1" x14ac:dyDescent="0.25">
      <c r="A19" s="82"/>
      <c r="B19" s="83" t="s">
        <v>74</v>
      </c>
      <c r="C19" s="80"/>
      <c r="D19" s="75"/>
      <c r="E19" s="77"/>
      <c r="F19" s="256"/>
      <c r="G19" s="76"/>
      <c r="H19" s="259"/>
      <c r="I19" s="77"/>
    </row>
    <row r="20" spans="1:9" s="52" customFormat="1" ht="8.25" customHeight="1" thickBot="1" x14ac:dyDescent="0.3">
      <c r="A20" s="53"/>
      <c r="B20" s="53"/>
      <c r="C20" s="53"/>
      <c r="D20" s="53"/>
      <c r="E20" s="53"/>
      <c r="F20" s="53"/>
      <c r="G20" s="53"/>
      <c r="H20" s="53"/>
      <c r="I20" s="53"/>
    </row>
    <row r="21" spans="1:9" s="85" customFormat="1" ht="19.5" customHeight="1" thickBot="1" x14ac:dyDescent="0.3">
      <c r="A21" s="63" t="s">
        <v>82</v>
      </c>
      <c r="B21" s="64"/>
      <c r="C21" s="86"/>
      <c r="D21" s="90" t="str">
        <f>D9</f>
        <v>Dauer d. Phase [Mo]</v>
      </c>
      <c r="E21" s="91"/>
      <c r="F21" s="92">
        <v>4</v>
      </c>
      <c r="G21" s="86"/>
      <c r="H21" s="121"/>
      <c r="I21" s="64"/>
    </row>
    <row r="22" spans="1:9" s="52" customFormat="1" ht="7.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</row>
    <row r="23" spans="1:9" s="52" customFormat="1" ht="30.75" customHeight="1" x14ac:dyDescent="0.25">
      <c r="A23" s="78" t="s">
        <v>251</v>
      </c>
      <c r="B23" s="73" t="s">
        <v>265</v>
      </c>
      <c r="C23" s="80"/>
      <c r="D23" s="75">
        <v>1</v>
      </c>
      <c r="E23" s="77">
        <v>3</v>
      </c>
      <c r="F23" s="256"/>
      <c r="G23" s="76"/>
      <c r="H23" s="257"/>
      <c r="I23" s="77"/>
    </row>
    <row r="24" spans="1:9" s="52" customFormat="1" ht="30.75" customHeight="1" x14ac:dyDescent="0.25">
      <c r="A24" s="78" t="s">
        <v>254</v>
      </c>
      <c r="B24" s="73" t="s">
        <v>266</v>
      </c>
      <c r="C24" s="80"/>
      <c r="D24" s="75">
        <v>1</v>
      </c>
      <c r="E24" s="77">
        <v>1</v>
      </c>
      <c r="F24" s="256"/>
      <c r="G24" s="76"/>
      <c r="H24" s="257"/>
      <c r="I24" s="77"/>
    </row>
    <row r="25" spans="1:9" s="52" customFormat="1" ht="30.75" customHeight="1" x14ac:dyDescent="0.25">
      <c r="A25" s="78" t="s">
        <v>255</v>
      </c>
      <c r="B25" s="83" t="s">
        <v>267</v>
      </c>
      <c r="C25" s="80"/>
      <c r="D25" s="75"/>
      <c r="E25" s="77"/>
      <c r="F25" s="256"/>
      <c r="G25" s="76"/>
      <c r="H25" s="259"/>
      <c r="I25" s="79"/>
    </row>
    <row r="26" spans="1:9" s="52" customFormat="1" ht="8.25" customHeight="1" thickBot="1" x14ac:dyDescent="0.3">
      <c r="A26" s="53"/>
      <c r="B26" s="53"/>
      <c r="C26" s="53"/>
      <c r="D26" s="53"/>
      <c r="E26" s="53"/>
      <c r="F26" s="53"/>
      <c r="G26" s="53"/>
      <c r="H26" s="53"/>
      <c r="I26" s="53"/>
    </row>
    <row r="27" spans="1:9" s="85" customFormat="1" ht="19.5" customHeight="1" thickBot="1" x14ac:dyDescent="0.3">
      <c r="A27" s="63" t="s">
        <v>83</v>
      </c>
      <c r="B27" s="64"/>
      <c r="C27" s="86"/>
      <c r="D27" s="90" t="str">
        <f>D9</f>
        <v>Dauer d. Phase [Mo]</v>
      </c>
      <c r="E27" s="91"/>
      <c r="F27" s="92">
        <v>8</v>
      </c>
      <c r="G27" s="86"/>
      <c r="H27" s="121"/>
      <c r="I27" s="64"/>
    </row>
    <row r="28" spans="1:9" s="52" customFormat="1" ht="7.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</row>
    <row r="29" spans="1:9" s="52" customFormat="1" ht="30.75" customHeight="1" x14ac:dyDescent="0.25">
      <c r="A29" s="81" t="s">
        <v>257</v>
      </c>
      <c r="B29" s="58" t="s">
        <v>256</v>
      </c>
      <c r="C29" s="80"/>
      <c r="D29" s="75">
        <v>1</v>
      </c>
      <c r="E29" s="77">
        <v>8</v>
      </c>
      <c r="F29" s="256"/>
      <c r="G29" s="76"/>
      <c r="H29" s="257"/>
      <c r="I29" s="77"/>
    </row>
    <row r="30" spans="1:9" s="52" customFormat="1" ht="30.75" customHeight="1" x14ac:dyDescent="0.25">
      <c r="A30" s="82" t="s">
        <v>259</v>
      </c>
      <c r="B30" s="83" t="s">
        <v>258</v>
      </c>
      <c r="C30" s="80"/>
      <c r="D30" s="75">
        <v>1</v>
      </c>
      <c r="E30" s="77">
        <v>8</v>
      </c>
      <c r="F30" s="256"/>
      <c r="G30" s="76"/>
      <c r="H30" s="259"/>
      <c r="I30" s="77"/>
    </row>
    <row r="31" spans="1:9" s="1" customFormat="1" ht="8.25" customHeight="1" thickBot="1" x14ac:dyDescent="0.3">
      <c r="A31" s="50"/>
      <c r="B31" s="50"/>
      <c r="C31" s="50"/>
      <c r="D31" s="50"/>
      <c r="E31" s="50"/>
      <c r="F31" s="50"/>
      <c r="G31" s="50"/>
      <c r="H31" s="229"/>
      <c r="I31" s="50"/>
    </row>
    <row r="32" spans="1:9" s="85" customFormat="1" ht="19.5" customHeight="1" thickBot="1" x14ac:dyDescent="0.3">
      <c r="A32" s="63" t="s">
        <v>157</v>
      </c>
      <c r="B32" s="64"/>
      <c r="C32" s="86"/>
      <c r="D32" s="90" t="str">
        <f>D9</f>
        <v>Dauer d. Phase [Mo]</v>
      </c>
      <c r="E32" s="91"/>
      <c r="F32" s="92">
        <v>0</v>
      </c>
      <c r="G32" s="86"/>
      <c r="H32" s="121"/>
      <c r="I32" s="64"/>
    </row>
    <row r="33" spans="1:9" s="52" customFormat="1" ht="7.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</row>
    <row r="34" spans="1:9" s="52" customFormat="1" ht="30.75" customHeight="1" x14ac:dyDescent="0.25">
      <c r="A34" s="82" t="s">
        <v>261</v>
      </c>
      <c r="B34" s="83" t="s">
        <v>260</v>
      </c>
      <c r="C34" s="80"/>
      <c r="D34" s="75"/>
      <c r="E34" s="77"/>
      <c r="F34" s="256"/>
      <c r="G34" s="76"/>
      <c r="H34" s="257"/>
      <c r="I34" s="77"/>
    </row>
    <row r="35" spans="1:9" s="52" customFormat="1" ht="30.75" hidden="1" customHeight="1" x14ac:dyDescent="0.25">
      <c r="A35" s="82"/>
      <c r="B35" s="83" t="s">
        <v>74</v>
      </c>
      <c r="C35" s="80"/>
      <c r="D35" s="75"/>
      <c r="E35" s="77"/>
      <c r="F35" s="256"/>
      <c r="G35" s="76"/>
      <c r="H35" s="257"/>
      <c r="I35" s="77"/>
    </row>
    <row r="36" spans="1:9" s="1" customFormat="1" ht="8.25" customHeight="1" thickBot="1" x14ac:dyDescent="0.3">
      <c r="A36" s="50"/>
      <c r="B36" s="50"/>
      <c r="C36" s="50"/>
      <c r="D36" s="50"/>
      <c r="E36" s="50"/>
      <c r="F36" s="50"/>
      <c r="G36" s="50"/>
      <c r="H36" s="229"/>
      <c r="I36" s="50"/>
    </row>
    <row r="37" spans="1:9" ht="16.2" thickBot="1" x14ac:dyDescent="0.35">
      <c r="A37" s="230" t="s">
        <v>186</v>
      </c>
      <c r="B37" s="231"/>
      <c r="D37" s="50"/>
      <c r="E37" s="50"/>
      <c r="F37" s="258">
        <f>SUM(F32,F27,F21,F14,F9)</f>
        <v>16</v>
      </c>
      <c r="G37" s="50"/>
      <c r="H37" s="229"/>
      <c r="I37" s="50"/>
    </row>
  </sheetData>
  <mergeCells count="4">
    <mergeCell ref="D3:I3"/>
    <mergeCell ref="D4:I4"/>
    <mergeCell ref="D6:F6"/>
    <mergeCell ref="H6:I6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88" fitToHeight="0" orientation="portrait" horizontalDpi="300" r:id="rId1"/>
  <headerFooter alignWithMargins="0">
    <oddFooter>&amp;L&amp;8Leitfaden Kostenabschätzung von Planungsleistungen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6"/>
  <sheetViews>
    <sheetView showGridLines="0" zoomScaleNormal="100" zoomScaleSheetLayoutView="100" workbookViewId="0">
      <selection activeCell="D31" sqref="D31"/>
    </sheetView>
  </sheetViews>
  <sheetFormatPr baseColWidth="10" defaultColWidth="11.5546875" defaultRowHeight="13.2" x14ac:dyDescent="0.25"/>
  <cols>
    <col min="1" max="1" width="8" style="123" customWidth="1"/>
    <col min="2" max="2" width="31.6640625" style="123" customWidth="1"/>
    <col min="3" max="3" width="1.88671875" style="123" customWidth="1"/>
    <col min="4" max="4" width="9" style="123" customWidth="1"/>
    <col min="5" max="10" width="5.44140625" style="123" customWidth="1"/>
    <col min="11" max="18" width="5.44140625" style="124" customWidth="1"/>
    <col min="19" max="19" width="5.33203125" style="124" customWidth="1"/>
    <col min="20" max="20" width="8" style="124" customWidth="1"/>
    <col min="21" max="16384" width="11.5546875" style="123"/>
  </cols>
  <sheetData>
    <row r="1" spans="1:20" ht="37.950000000000003" customHeight="1" thickBot="1" x14ac:dyDescent="0.3"/>
    <row r="2" spans="1:20" ht="46.95" customHeight="1" thickBot="1" x14ac:dyDescent="0.3">
      <c r="A2" s="379" t="s">
        <v>219</v>
      </c>
      <c r="B2" s="380"/>
      <c r="D2" s="137" t="s">
        <v>140</v>
      </c>
      <c r="E2" s="381" t="s">
        <v>141</v>
      </c>
      <c r="F2" s="381"/>
      <c r="G2" s="381"/>
      <c r="H2" s="381" t="s">
        <v>148</v>
      </c>
      <c r="I2" s="381"/>
      <c r="J2" s="381"/>
      <c r="K2" s="381"/>
      <c r="L2" s="381" t="s">
        <v>142</v>
      </c>
      <c r="M2" s="381"/>
      <c r="N2" s="381"/>
      <c r="O2" s="381"/>
      <c r="P2" s="381"/>
      <c r="Q2" s="381"/>
      <c r="R2" s="381"/>
      <c r="S2" s="381"/>
      <c r="T2" s="338" t="s">
        <v>143</v>
      </c>
    </row>
    <row r="3" spans="1:20" ht="6" customHeight="1" x14ac:dyDescent="0.25"/>
    <row r="4" spans="1:20" x14ac:dyDescent="0.25">
      <c r="B4" s="125" t="s">
        <v>144</v>
      </c>
      <c r="D4" s="125">
        <v>1</v>
      </c>
      <c r="E4" s="125">
        <v>2</v>
      </c>
      <c r="F4" s="125">
        <v>3</v>
      </c>
      <c r="G4" s="125">
        <v>4</v>
      </c>
      <c r="H4" s="125">
        <v>5</v>
      </c>
      <c r="I4" s="125">
        <v>6</v>
      </c>
      <c r="J4" s="125">
        <v>7</v>
      </c>
      <c r="K4" s="125">
        <v>8</v>
      </c>
      <c r="L4" s="125">
        <v>9</v>
      </c>
      <c r="M4" s="125">
        <v>10</v>
      </c>
      <c r="N4" s="125">
        <v>11</v>
      </c>
      <c r="O4" s="125">
        <v>12</v>
      </c>
      <c r="P4" s="125">
        <v>13</v>
      </c>
      <c r="Q4" s="125">
        <v>14</v>
      </c>
      <c r="R4" s="125">
        <v>15</v>
      </c>
      <c r="S4" s="125">
        <v>16</v>
      </c>
      <c r="T4" s="125">
        <v>17</v>
      </c>
    </row>
    <row r="5" spans="1:20" x14ac:dyDescent="0.25">
      <c r="A5" s="322" t="s">
        <v>268</v>
      </c>
      <c r="B5" s="126" t="s">
        <v>245</v>
      </c>
      <c r="D5" s="127"/>
      <c r="E5" s="128"/>
      <c r="F5" s="129"/>
      <c r="G5" s="130"/>
      <c r="H5" s="131"/>
      <c r="I5" s="129"/>
      <c r="J5" s="129"/>
      <c r="K5" s="129"/>
      <c r="L5" s="128"/>
      <c r="M5" s="128"/>
      <c r="N5" s="128"/>
      <c r="O5" s="128"/>
      <c r="P5" s="128"/>
      <c r="Q5" s="128"/>
      <c r="R5" s="128"/>
      <c r="S5" s="129"/>
      <c r="T5" s="129"/>
    </row>
    <row r="6" spans="1:20" x14ac:dyDescent="0.25">
      <c r="A6" s="322" t="s">
        <v>269</v>
      </c>
      <c r="B6" s="126" t="s">
        <v>262</v>
      </c>
      <c r="D6" s="129"/>
      <c r="E6" s="132"/>
      <c r="F6" s="129"/>
      <c r="G6" s="130"/>
      <c r="H6" s="131"/>
      <c r="I6" s="129"/>
      <c r="J6" s="129"/>
      <c r="K6" s="129"/>
      <c r="L6" s="128"/>
      <c r="M6" s="128"/>
      <c r="N6" s="128"/>
      <c r="O6" s="128"/>
      <c r="P6" s="128"/>
      <c r="Q6" s="128"/>
      <c r="R6" s="128"/>
      <c r="S6" s="129"/>
      <c r="T6" s="129"/>
    </row>
    <row r="7" spans="1:20" x14ac:dyDescent="0.25">
      <c r="A7" s="322" t="s">
        <v>270</v>
      </c>
      <c r="B7" s="126" t="s">
        <v>263</v>
      </c>
      <c r="D7" s="129"/>
      <c r="E7" s="128"/>
      <c r="F7" s="127"/>
      <c r="G7" s="130"/>
      <c r="H7" s="131"/>
      <c r="I7" s="129"/>
      <c r="J7" s="129"/>
      <c r="K7" s="129"/>
      <c r="L7" s="128"/>
      <c r="M7" s="128"/>
      <c r="N7" s="128"/>
      <c r="O7" s="128"/>
      <c r="P7" s="128"/>
      <c r="Q7" s="128"/>
      <c r="R7" s="128"/>
      <c r="S7" s="129"/>
      <c r="T7" s="129"/>
    </row>
    <row r="8" spans="1:20" x14ac:dyDescent="0.25">
      <c r="A8" s="322" t="s">
        <v>271</v>
      </c>
      <c r="B8" s="126" t="s">
        <v>250</v>
      </c>
      <c r="D8" s="129"/>
      <c r="E8" s="128"/>
      <c r="F8" s="133"/>
      <c r="G8" s="133"/>
      <c r="H8" s="131"/>
      <c r="I8" s="129"/>
      <c r="J8" s="129"/>
      <c r="K8" s="129"/>
      <c r="L8" s="134"/>
      <c r="M8" s="134"/>
      <c r="N8" s="134"/>
      <c r="O8" s="134"/>
      <c r="P8" s="134"/>
      <c r="Q8" s="134"/>
      <c r="R8" s="134"/>
      <c r="S8" s="129"/>
      <c r="T8" s="129"/>
    </row>
    <row r="9" spans="1:20" x14ac:dyDescent="0.25">
      <c r="A9" s="322" t="s">
        <v>251</v>
      </c>
      <c r="B9" s="126" t="s">
        <v>265</v>
      </c>
      <c r="D9" s="129"/>
      <c r="E9" s="128"/>
      <c r="F9" s="129"/>
      <c r="G9" s="130"/>
      <c r="H9" s="132"/>
      <c r="I9" s="132"/>
      <c r="J9" s="132"/>
      <c r="K9" s="128"/>
      <c r="L9" s="128"/>
      <c r="M9" s="128"/>
      <c r="N9" s="128"/>
      <c r="O9" s="128"/>
      <c r="P9" s="128"/>
      <c r="Q9" s="128"/>
      <c r="R9" s="128"/>
      <c r="S9" s="129"/>
      <c r="T9" s="129"/>
    </row>
    <row r="10" spans="1:20" x14ac:dyDescent="0.25">
      <c r="A10" s="322" t="s">
        <v>254</v>
      </c>
      <c r="B10" s="126" t="s">
        <v>266</v>
      </c>
      <c r="D10" s="129"/>
      <c r="E10" s="128"/>
      <c r="F10" s="129"/>
      <c r="G10" s="130"/>
      <c r="H10" s="128"/>
      <c r="I10" s="128"/>
      <c r="J10" s="128"/>
      <c r="K10" s="132"/>
      <c r="L10" s="135"/>
      <c r="M10" s="135"/>
      <c r="N10" s="135"/>
      <c r="O10" s="135"/>
      <c r="P10" s="135"/>
      <c r="Q10" s="135"/>
      <c r="R10" s="135"/>
      <c r="S10" s="129"/>
      <c r="T10" s="129"/>
    </row>
    <row r="11" spans="1:20" x14ac:dyDescent="0.25">
      <c r="A11" s="322" t="s">
        <v>255</v>
      </c>
      <c r="B11" s="312" t="s">
        <v>267</v>
      </c>
      <c r="D11" s="129"/>
      <c r="E11" s="128"/>
      <c r="F11" s="129"/>
      <c r="G11" s="130"/>
      <c r="H11" s="129"/>
      <c r="I11" s="129"/>
      <c r="J11" s="129"/>
      <c r="K11" s="129"/>
      <c r="L11" s="128"/>
      <c r="M11" s="134"/>
      <c r="N11" s="134"/>
      <c r="O11" s="134"/>
      <c r="P11" s="134"/>
      <c r="Q11" s="134"/>
      <c r="R11" s="134"/>
      <c r="S11" s="129"/>
      <c r="T11" s="129"/>
    </row>
    <row r="12" spans="1:20" x14ac:dyDescent="0.25">
      <c r="A12" s="322" t="s">
        <v>272</v>
      </c>
      <c r="B12" s="312" t="s">
        <v>256</v>
      </c>
      <c r="D12" s="129"/>
      <c r="E12" s="128"/>
      <c r="F12" s="129"/>
      <c r="G12" s="130"/>
      <c r="H12" s="129"/>
      <c r="I12" s="129"/>
      <c r="J12" s="129"/>
      <c r="K12" s="129"/>
      <c r="L12" s="132"/>
      <c r="M12" s="132"/>
      <c r="N12" s="132"/>
      <c r="O12" s="132"/>
      <c r="P12" s="132"/>
      <c r="Q12" s="132"/>
      <c r="R12" s="132"/>
      <c r="S12" s="127"/>
      <c r="T12" s="129"/>
    </row>
    <row r="13" spans="1:20" x14ac:dyDescent="0.25">
      <c r="A13" s="322" t="s">
        <v>273</v>
      </c>
      <c r="B13" s="320" t="s">
        <v>258</v>
      </c>
      <c r="D13" s="129"/>
      <c r="E13" s="128"/>
      <c r="F13" s="129"/>
      <c r="G13" s="130"/>
      <c r="H13" s="129"/>
      <c r="I13" s="129"/>
      <c r="J13" s="129"/>
      <c r="K13" s="129"/>
      <c r="L13" s="132"/>
      <c r="M13" s="132"/>
      <c r="N13" s="132"/>
      <c r="O13" s="132"/>
      <c r="P13" s="132"/>
      <c r="Q13" s="132"/>
      <c r="R13" s="132"/>
      <c r="S13" s="127"/>
      <c r="T13" s="129"/>
    </row>
    <row r="14" spans="1:20" x14ac:dyDescent="0.25">
      <c r="A14" s="322" t="s">
        <v>261</v>
      </c>
      <c r="B14" s="126" t="s">
        <v>260</v>
      </c>
      <c r="D14" s="129"/>
      <c r="E14" s="128"/>
      <c r="F14" s="129"/>
      <c r="G14" s="130"/>
      <c r="H14" s="129"/>
      <c r="I14" s="129"/>
      <c r="J14" s="129"/>
      <c r="K14" s="129"/>
      <c r="L14" s="128"/>
      <c r="M14" s="128"/>
      <c r="N14" s="128"/>
      <c r="O14" s="128"/>
      <c r="P14" s="128"/>
      <c r="Q14" s="128"/>
      <c r="R14" s="128"/>
      <c r="S14" s="128"/>
      <c r="T14" s="129"/>
    </row>
    <row r="15" spans="1:20" x14ac:dyDescent="0.25">
      <c r="K15" s="123"/>
      <c r="L15" s="123"/>
      <c r="M15" s="123"/>
    </row>
    <row r="16" spans="1:20" x14ac:dyDescent="0.25">
      <c r="K16" s="123"/>
      <c r="L16" s="123"/>
      <c r="M16" s="123"/>
      <c r="N16" s="123"/>
      <c r="O16" s="123"/>
      <c r="P16" s="123"/>
      <c r="Q16" s="123"/>
      <c r="R16" s="123"/>
    </row>
  </sheetData>
  <mergeCells count="4">
    <mergeCell ref="A2:B2"/>
    <mergeCell ref="E2:G2"/>
    <mergeCell ref="H2:K2"/>
    <mergeCell ref="L2:S2"/>
  </mergeCells>
  <phoneticPr fontId="3" type="noConversion"/>
  <pageMargins left="0.78740157499999996" right="0.78740157499999996" top="0.984251969" bottom="0.984251969" header="0.4921259845" footer="0.4921259845"/>
  <pageSetup paperSize="9" scale="6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zoomScaleNormal="100" zoomScaleSheetLayoutView="100" workbookViewId="0">
      <selection activeCell="D31" sqref="D31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20" customWidth="1"/>
    <col min="3" max="3" width="7.88671875" style="20" customWidth="1"/>
    <col min="4" max="4" width="9.44140625" style="20" customWidth="1"/>
    <col min="5" max="5" width="8.6640625" style="20" customWidth="1"/>
    <col min="6" max="6" width="0.6640625" style="20" customWidth="1"/>
    <col min="7" max="7" width="33.6640625" style="10" customWidth="1"/>
    <col min="8" max="8" width="0.88671875" style="20" customWidth="1"/>
    <col min="9" max="9" width="59" style="6" customWidth="1"/>
    <col min="10" max="16384" width="11.44140625" style="2"/>
  </cols>
  <sheetData>
    <row r="1" spans="1:9" ht="17.399999999999999" x14ac:dyDescent="0.25">
      <c r="A1" s="70" t="s">
        <v>217</v>
      </c>
      <c r="B1" s="29"/>
      <c r="C1" s="29"/>
      <c r="D1" s="29"/>
      <c r="E1" s="29"/>
      <c r="F1" s="29"/>
      <c r="G1" s="28"/>
      <c r="H1" s="29"/>
    </row>
    <row r="2" spans="1:9" x14ac:dyDescent="0.25">
      <c r="A2" s="4"/>
      <c r="B2" s="29"/>
      <c r="C2" s="29"/>
      <c r="D2" s="29"/>
      <c r="E2" s="29"/>
      <c r="F2" s="29"/>
      <c r="G2" s="28"/>
      <c r="H2" s="29"/>
    </row>
    <row r="3" spans="1:9" s="3" customFormat="1" ht="15" customHeight="1" x14ac:dyDescent="0.25">
      <c r="A3" s="24"/>
      <c r="B3" s="26" t="s">
        <v>5</v>
      </c>
      <c r="C3" s="27" t="s">
        <v>0</v>
      </c>
      <c r="D3" s="27" t="s">
        <v>80</v>
      </c>
      <c r="E3" s="27" t="s">
        <v>1</v>
      </c>
      <c r="F3" s="29"/>
      <c r="G3" s="36"/>
      <c r="H3" s="27"/>
      <c r="I3" s="264" t="s">
        <v>89</v>
      </c>
    </row>
    <row r="4" spans="1:9" s="7" customFormat="1" ht="27" thickBot="1" x14ac:dyDescent="0.3">
      <c r="A4" s="7" t="s">
        <v>6</v>
      </c>
      <c r="B4" s="8" t="s">
        <v>7</v>
      </c>
      <c r="C4" s="263">
        <v>1</v>
      </c>
      <c r="D4" s="261">
        <f>AVERAGE(D5:D8)</f>
        <v>10.666666666666666</v>
      </c>
      <c r="E4" s="263">
        <v>30</v>
      </c>
      <c r="F4" s="29"/>
      <c r="G4" s="37" t="s">
        <v>79</v>
      </c>
      <c r="H4" s="27"/>
      <c r="I4" s="9"/>
    </row>
    <row r="5" spans="1:9" s="10" customFormat="1" ht="41.25" customHeight="1" thickBot="1" x14ac:dyDescent="0.3">
      <c r="A5" s="28"/>
      <c r="B5" s="11" t="s">
        <v>8</v>
      </c>
      <c r="C5" s="262" t="s">
        <v>9</v>
      </c>
      <c r="D5" s="333">
        <v>12</v>
      </c>
      <c r="E5" s="334" t="s">
        <v>10</v>
      </c>
      <c r="F5" s="29"/>
      <c r="G5" s="335" t="s">
        <v>283</v>
      </c>
      <c r="H5" s="31"/>
      <c r="I5" s="288" t="s">
        <v>88</v>
      </c>
    </row>
    <row r="6" spans="1:9" s="10" customFormat="1" ht="29.25" customHeight="1" thickBot="1" x14ac:dyDescent="0.3">
      <c r="A6" s="28"/>
      <c r="B6" s="11" t="s">
        <v>11</v>
      </c>
      <c r="C6" s="12" t="s">
        <v>12</v>
      </c>
      <c r="D6" s="336">
        <v>14</v>
      </c>
      <c r="E6" s="337" t="s">
        <v>13</v>
      </c>
      <c r="F6" s="29"/>
      <c r="G6" s="335" t="s">
        <v>284</v>
      </c>
      <c r="H6" s="31"/>
      <c r="I6" s="288" t="s">
        <v>14</v>
      </c>
    </row>
    <row r="7" spans="1:9" s="10" customFormat="1" ht="40.200000000000003" thickBot="1" x14ac:dyDescent="0.3">
      <c r="A7" s="28"/>
      <c r="B7" s="11" t="s">
        <v>15</v>
      </c>
      <c r="C7" s="12" t="s">
        <v>10</v>
      </c>
      <c r="D7" s="336">
        <v>6</v>
      </c>
      <c r="E7" s="337" t="s">
        <v>9</v>
      </c>
      <c r="F7" s="29"/>
      <c r="G7" s="335" t="s">
        <v>285</v>
      </c>
      <c r="H7" s="31"/>
      <c r="I7" s="288" t="s">
        <v>16</v>
      </c>
    </row>
    <row r="8" spans="1:9" s="10" customFormat="1" ht="15" customHeight="1" thickBot="1" x14ac:dyDescent="0.3">
      <c r="A8" s="28"/>
      <c r="B8" s="88" t="s">
        <v>17</v>
      </c>
      <c r="C8" s="12"/>
      <c r="D8" s="13"/>
      <c r="E8" s="14"/>
      <c r="F8" s="29"/>
      <c r="G8" s="287"/>
      <c r="H8" s="31"/>
      <c r="I8" s="288" t="s">
        <v>18</v>
      </c>
    </row>
    <row r="9" spans="1:9" x14ac:dyDescent="0.25">
      <c r="A9" s="4"/>
      <c r="B9" s="29"/>
      <c r="C9" s="29"/>
      <c r="D9" s="29"/>
      <c r="E9" s="29"/>
      <c r="F9" s="29"/>
      <c r="G9" s="28"/>
      <c r="H9" s="29"/>
    </row>
    <row r="10" spans="1:9" s="7" customFormat="1" x14ac:dyDescent="0.25">
      <c r="A10" s="7" t="s">
        <v>19</v>
      </c>
      <c r="B10" s="8" t="s">
        <v>20</v>
      </c>
      <c r="C10" s="263">
        <v>1</v>
      </c>
      <c r="D10" s="15">
        <v>12</v>
      </c>
      <c r="E10" s="263">
        <v>30</v>
      </c>
      <c r="F10" s="29"/>
      <c r="G10" s="287"/>
      <c r="H10" s="27"/>
      <c r="I10" s="9"/>
    </row>
    <row r="11" spans="1:9" x14ac:dyDescent="0.25">
      <c r="B11" s="29"/>
      <c r="C11" s="29"/>
      <c r="D11" s="29"/>
      <c r="E11" s="29"/>
      <c r="F11" s="29"/>
      <c r="G11" s="28"/>
      <c r="H11" s="29"/>
    </row>
    <row r="12" spans="1:9" s="7" customFormat="1" ht="27" thickBot="1" x14ac:dyDescent="0.3">
      <c r="A12" s="7" t="s">
        <v>21</v>
      </c>
      <c r="B12" s="8" t="s">
        <v>22</v>
      </c>
      <c r="C12" s="263">
        <f>$C$4</f>
        <v>1</v>
      </c>
      <c r="D12" s="261">
        <f>AVERAGE(D13:D17)</f>
        <v>10</v>
      </c>
      <c r="E12" s="263">
        <f>$E$4</f>
        <v>30</v>
      </c>
      <c r="F12" s="29"/>
      <c r="G12" s="37"/>
      <c r="H12" s="27"/>
      <c r="I12" s="9"/>
    </row>
    <row r="13" spans="1:9" s="10" customFormat="1" ht="40.200000000000003" thickBot="1" x14ac:dyDescent="0.3">
      <c r="A13" s="28"/>
      <c r="B13" s="11" t="s">
        <v>23</v>
      </c>
      <c r="C13" s="262" t="s">
        <v>24</v>
      </c>
      <c r="D13" s="333">
        <v>15</v>
      </c>
      <c r="E13" s="334" t="s">
        <v>10</v>
      </c>
      <c r="F13" s="29"/>
      <c r="G13" s="335" t="s">
        <v>286</v>
      </c>
      <c r="H13" s="31"/>
      <c r="I13" s="288" t="s">
        <v>25</v>
      </c>
    </row>
    <row r="14" spans="1:9" s="10" customFormat="1" ht="53.4" thickBot="1" x14ac:dyDescent="0.3">
      <c r="A14" s="28"/>
      <c r="B14" s="11" t="s">
        <v>26</v>
      </c>
      <c r="C14" s="12" t="s">
        <v>9</v>
      </c>
      <c r="D14" s="336">
        <v>8</v>
      </c>
      <c r="E14" s="337" t="s">
        <v>10</v>
      </c>
      <c r="F14" s="29"/>
      <c r="G14" s="335" t="s">
        <v>287</v>
      </c>
      <c r="H14" s="31"/>
      <c r="I14" s="288" t="s">
        <v>27</v>
      </c>
    </row>
    <row r="15" spans="1:9" s="10" customFormat="1" ht="30" customHeight="1" thickBot="1" x14ac:dyDescent="0.3">
      <c r="A15" s="28"/>
      <c r="B15" s="11" t="s">
        <v>28</v>
      </c>
      <c r="C15" s="12" t="s">
        <v>9</v>
      </c>
      <c r="D15" s="336">
        <v>8</v>
      </c>
      <c r="E15" s="337" t="s">
        <v>10</v>
      </c>
      <c r="F15" s="29"/>
      <c r="G15" s="335" t="s">
        <v>288</v>
      </c>
      <c r="H15" s="31"/>
      <c r="I15" s="288" t="s">
        <v>29</v>
      </c>
    </row>
    <row r="16" spans="1:9" s="10" customFormat="1" ht="27.75" customHeight="1" thickBot="1" x14ac:dyDescent="0.3">
      <c r="A16" s="28"/>
      <c r="B16" s="11" t="s">
        <v>30</v>
      </c>
      <c r="C16" s="12" t="s">
        <v>12</v>
      </c>
      <c r="D16" s="336">
        <v>9</v>
      </c>
      <c r="E16" s="337" t="s">
        <v>13</v>
      </c>
      <c r="F16" s="29"/>
      <c r="G16" s="335" t="s">
        <v>289</v>
      </c>
      <c r="H16" s="31"/>
      <c r="I16" s="288" t="s">
        <v>31</v>
      </c>
    </row>
    <row r="17" spans="1:9" s="10" customFormat="1" ht="14.25" customHeight="1" thickBot="1" x14ac:dyDescent="0.3">
      <c r="A17" s="28"/>
      <c r="B17" s="88" t="s">
        <v>32</v>
      </c>
      <c r="C17" s="12"/>
      <c r="D17" s="13"/>
      <c r="E17" s="14"/>
      <c r="F17" s="29"/>
      <c r="G17" s="287"/>
      <c r="H17" s="31"/>
      <c r="I17" s="288" t="s">
        <v>18</v>
      </c>
    </row>
    <row r="18" spans="1:9" x14ac:dyDescent="0.25">
      <c r="A18" s="4"/>
      <c r="B18" s="29"/>
      <c r="C18" s="29"/>
      <c r="D18" s="29"/>
      <c r="E18" s="29"/>
      <c r="F18" s="29"/>
      <c r="G18" s="28"/>
      <c r="H18" s="29"/>
    </row>
    <row r="19" spans="1:9" s="3" customFormat="1" ht="15" customHeight="1" x14ac:dyDescent="0.25">
      <c r="A19" s="24"/>
      <c r="B19" s="26" t="s">
        <v>5</v>
      </c>
      <c r="C19" s="27" t="s">
        <v>0</v>
      </c>
      <c r="D19" s="27" t="s">
        <v>80</v>
      </c>
      <c r="E19" s="27" t="s">
        <v>1</v>
      </c>
      <c r="F19" s="29"/>
      <c r="G19" s="36"/>
      <c r="H19" s="27"/>
      <c r="I19" s="6"/>
    </row>
    <row r="20" spans="1:9" s="16" customFormat="1" ht="13.8" thickBot="1" x14ac:dyDescent="0.3">
      <c r="A20" s="16" t="s">
        <v>33</v>
      </c>
      <c r="B20" s="17" t="s">
        <v>34</v>
      </c>
      <c r="C20" s="263">
        <f>$C$4</f>
        <v>1</v>
      </c>
      <c r="D20" s="261">
        <f>AVERAGE(D21:D26)</f>
        <v>11.25</v>
      </c>
      <c r="E20" s="263">
        <f>$E$4</f>
        <v>30</v>
      </c>
      <c r="F20" s="29"/>
      <c r="G20" s="37"/>
      <c r="H20" s="27"/>
      <c r="I20" s="18"/>
    </row>
    <row r="21" spans="1:9" s="10" customFormat="1" ht="29.25" customHeight="1" thickBot="1" x14ac:dyDescent="0.3">
      <c r="A21" s="28"/>
      <c r="B21" s="11" t="s">
        <v>35</v>
      </c>
      <c r="C21" s="262" t="s">
        <v>24</v>
      </c>
      <c r="D21" s="333">
        <v>12</v>
      </c>
      <c r="E21" s="334" t="s">
        <v>10</v>
      </c>
      <c r="F21" s="29"/>
      <c r="G21" s="335" t="s">
        <v>290</v>
      </c>
      <c r="H21" s="31"/>
      <c r="I21" s="288" t="s">
        <v>36</v>
      </c>
    </row>
    <row r="22" spans="1:9" s="10" customFormat="1" ht="27.75" customHeight="1" thickBot="1" x14ac:dyDescent="0.3">
      <c r="A22" s="28"/>
      <c r="B22" s="11" t="s">
        <v>37</v>
      </c>
      <c r="C22" s="12" t="s">
        <v>24</v>
      </c>
      <c r="D22" s="336">
        <v>15</v>
      </c>
      <c r="E22" s="337" t="s">
        <v>10</v>
      </c>
      <c r="F22" s="29"/>
      <c r="G22" s="335" t="s">
        <v>291</v>
      </c>
      <c r="H22" s="31"/>
      <c r="I22" s="288" t="s">
        <v>38</v>
      </c>
    </row>
    <row r="23" spans="1:9" s="10" customFormat="1" ht="27" thickBot="1" x14ac:dyDescent="0.3">
      <c r="A23" s="28"/>
      <c r="B23" s="11" t="s">
        <v>39</v>
      </c>
      <c r="C23" s="12" t="s">
        <v>24</v>
      </c>
      <c r="D23" s="336"/>
      <c r="E23" s="337" t="s">
        <v>10</v>
      </c>
      <c r="F23" s="29"/>
      <c r="G23" s="335" t="s">
        <v>292</v>
      </c>
      <c r="H23" s="31"/>
      <c r="I23" s="288" t="s">
        <v>40</v>
      </c>
    </row>
    <row r="24" spans="1:9" s="10" customFormat="1" ht="13.8" thickBot="1" x14ac:dyDescent="0.3">
      <c r="A24" s="28"/>
      <c r="B24" s="11" t="s">
        <v>41</v>
      </c>
      <c r="C24" s="12" t="s">
        <v>24</v>
      </c>
      <c r="D24" s="336">
        <v>12</v>
      </c>
      <c r="E24" s="337" t="s">
        <v>10</v>
      </c>
      <c r="F24" s="29"/>
      <c r="G24" s="335" t="s">
        <v>293</v>
      </c>
      <c r="H24" s="31"/>
      <c r="I24" s="288" t="s">
        <v>42</v>
      </c>
    </row>
    <row r="25" spans="1:9" s="10" customFormat="1" ht="16.5" customHeight="1" thickBot="1" x14ac:dyDescent="0.3">
      <c r="A25" s="28"/>
      <c r="B25" s="11" t="s">
        <v>43</v>
      </c>
      <c r="C25" s="12" t="s">
        <v>24</v>
      </c>
      <c r="D25" s="336">
        <v>6</v>
      </c>
      <c r="E25" s="337" t="s">
        <v>10</v>
      </c>
      <c r="F25" s="29"/>
      <c r="G25" s="335" t="s">
        <v>294</v>
      </c>
      <c r="H25" s="31"/>
      <c r="I25" s="288" t="s">
        <v>44</v>
      </c>
    </row>
    <row r="26" spans="1:9" s="10" customFormat="1" ht="15" customHeight="1" thickBot="1" x14ac:dyDescent="0.3">
      <c r="A26" s="28"/>
      <c r="B26" s="88" t="s">
        <v>45</v>
      </c>
      <c r="C26" s="12"/>
      <c r="D26" s="13"/>
      <c r="E26" s="14"/>
      <c r="F26" s="29"/>
      <c r="G26" s="287"/>
      <c r="H26" s="31"/>
      <c r="I26" s="288" t="s">
        <v>18</v>
      </c>
    </row>
    <row r="27" spans="1:9" x14ac:dyDescent="0.25">
      <c r="A27" s="4"/>
      <c r="B27" s="29"/>
      <c r="C27" s="29"/>
      <c r="D27" s="29"/>
      <c r="E27" s="29"/>
      <c r="F27" s="29"/>
      <c r="G27" s="28"/>
      <c r="H27" s="29"/>
    </row>
    <row r="28" spans="1:9" s="16" customFormat="1" ht="27" thickBot="1" x14ac:dyDescent="0.3">
      <c r="A28" s="16" t="s">
        <v>46</v>
      </c>
      <c r="B28" s="17" t="s">
        <v>47</v>
      </c>
      <c r="C28" s="263">
        <f>$C$4</f>
        <v>1</v>
      </c>
      <c r="D28" s="261">
        <f>AVERAGE(D29:D31)</f>
        <v>12</v>
      </c>
      <c r="E28" s="263">
        <f>$E$4</f>
        <v>30</v>
      </c>
      <c r="F28" s="29"/>
      <c r="G28" s="37"/>
      <c r="H28" s="27"/>
      <c r="I28" s="19"/>
    </row>
    <row r="29" spans="1:9" s="10" customFormat="1" ht="40.200000000000003" thickBot="1" x14ac:dyDescent="0.3">
      <c r="A29" s="28"/>
      <c r="B29" s="11" t="s">
        <v>48</v>
      </c>
      <c r="C29" s="262" t="s">
        <v>49</v>
      </c>
      <c r="D29" s="333">
        <v>14</v>
      </c>
      <c r="E29" s="334" t="s">
        <v>50</v>
      </c>
      <c r="F29" s="29"/>
      <c r="G29" s="335" t="s">
        <v>295</v>
      </c>
      <c r="H29" s="31"/>
      <c r="I29" s="288" t="s">
        <v>51</v>
      </c>
    </row>
    <row r="30" spans="1:9" s="10" customFormat="1" ht="27" thickBot="1" x14ac:dyDescent="0.3">
      <c r="A30" s="28"/>
      <c r="B30" s="11" t="s">
        <v>52</v>
      </c>
      <c r="C30" s="12" t="s">
        <v>139</v>
      </c>
      <c r="D30" s="336">
        <v>10</v>
      </c>
      <c r="E30" s="337" t="s">
        <v>53</v>
      </c>
      <c r="F30" s="29"/>
      <c r="G30" s="335" t="s">
        <v>296</v>
      </c>
      <c r="H30" s="31"/>
      <c r="I30" s="288" t="s">
        <v>54</v>
      </c>
    </row>
    <row r="31" spans="1:9" s="10" customFormat="1" ht="13.5" customHeight="1" thickBot="1" x14ac:dyDescent="0.3">
      <c r="A31" s="28"/>
      <c r="B31" s="88" t="s">
        <v>32</v>
      </c>
      <c r="C31" s="12"/>
      <c r="D31" s="13"/>
      <c r="E31" s="14"/>
      <c r="F31" s="29"/>
      <c r="G31" s="287"/>
      <c r="H31" s="31"/>
      <c r="I31" s="288" t="s">
        <v>18</v>
      </c>
    </row>
    <row r="32" spans="1:9" x14ac:dyDescent="0.25">
      <c r="A32" s="4"/>
      <c r="B32" s="29"/>
      <c r="C32" s="29"/>
      <c r="D32" s="29"/>
      <c r="E32" s="29"/>
      <c r="F32" s="29"/>
      <c r="G32" s="35"/>
      <c r="H32" s="29"/>
    </row>
    <row r="33" spans="1:9" s="16" customFormat="1" ht="27" thickBot="1" x14ac:dyDescent="0.3">
      <c r="A33" s="16" t="s">
        <v>55</v>
      </c>
      <c r="B33" s="17" t="s">
        <v>56</v>
      </c>
      <c r="C33" s="263">
        <f>$C$4</f>
        <v>1</v>
      </c>
      <c r="D33" s="261">
        <f>AVERAGE(D34:D36)</f>
        <v>10</v>
      </c>
      <c r="E33" s="263">
        <f>$E$4</f>
        <v>30</v>
      </c>
      <c r="F33" s="29"/>
      <c r="G33" s="37"/>
      <c r="H33" s="27"/>
      <c r="I33" s="18"/>
    </row>
    <row r="34" spans="1:9" s="10" customFormat="1" ht="15" customHeight="1" thickBot="1" x14ac:dyDescent="0.3">
      <c r="A34" s="28"/>
      <c r="B34" s="11" t="s">
        <v>57</v>
      </c>
      <c r="C34" s="262" t="s">
        <v>24</v>
      </c>
      <c r="D34" s="333">
        <v>10</v>
      </c>
      <c r="E34" s="334" t="s">
        <v>10</v>
      </c>
      <c r="F34" s="29"/>
      <c r="G34" s="335" t="s">
        <v>297</v>
      </c>
      <c r="H34" s="31"/>
      <c r="I34" s="288" t="s">
        <v>58</v>
      </c>
    </row>
    <row r="35" spans="1:9" s="10" customFormat="1" ht="15.75" customHeight="1" thickBot="1" x14ac:dyDescent="0.3">
      <c r="A35" s="28"/>
      <c r="B35" s="11" t="s">
        <v>59</v>
      </c>
      <c r="C35" s="12" t="s">
        <v>24</v>
      </c>
      <c r="D35" s="13"/>
      <c r="E35" s="14" t="s">
        <v>10</v>
      </c>
      <c r="F35" s="29"/>
      <c r="G35" s="335" t="s">
        <v>298</v>
      </c>
      <c r="H35" s="31"/>
      <c r="I35" s="288" t="s">
        <v>60</v>
      </c>
    </row>
    <row r="36" spans="1:9" s="10" customFormat="1" ht="15.75" customHeight="1" thickBot="1" x14ac:dyDescent="0.3">
      <c r="A36" s="28"/>
      <c r="B36" s="88" t="s">
        <v>32</v>
      </c>
      <c r="C36" s="12"/>
      <c r="D36" s="13"/>
      <c r="E36" s="14"/>
      <c r="F36" s="29"/>
      <c r="G36" s="287"/>
      <c r="H36" s="31"/>
      <c r="I36" s="288" t="s">
        <v>18</v>
      </c>
    </row>
    <row r="37" spans="1:9" x14ac:dyDescent="0.25">
      <c r="A37" s="4"/>
      <c r="B37" s="29"/>
      <c r="C37" s="29"/>
      <c r="D37" s="29"/>
      <c r="E37" s="29"/>
      <c r="F37" s="29"/>
      <c r="G37" s="28"/>
      <c r="H37" s="29"/>
    </row>
    <row r="38" spans="1:9" s="3" customFormat="1" ht="13.8" thickBot="1" x14ac:dyDescent="0.3">
      <c r="A38" s="21"/>
      <c r="B38" s="22" t="s">
        <v>3</v>
      </c>
      <c r="C38" s="23"/>
      <c r="D38" s="261">
        <f>D33+D28+D20+D12+D10+D4</f>
        <v>65.916666666666671</v>
      </c>
      <c r="E38" s="16"/>
      <c r="F38" s="29"/>
      <c r="G38" s="38"/>
      <c r="H38" s="32"/>
    </row>
    <row r="39" spans="1:9" ht="13.8" thickBot="1" x14ac:dyDescent="0.3">
      <c r="A39" s="4"/>
      <c r="B39" s="29"/>
      <c r="C39" s="29"/>
      <c r="E39" s="29"/>
      <c r="F39" s="29"/>
      <c r="G39" s="28"/>
      <c r="H39" s="29"/>
    </row>
    <row r="40" spans="1:9" ht="18" thickBot="1" x14ac:dyDescent="0.35">
      <c r="A40" s="24"/>
      <c r="B40" s="25"/>
      <c r="C40" s="30" t="s">
        <v>4</v>
      </c>
      <c r="D40" s="260">
        <f>IF(D38&lt;120,0.0083*D38+0.5,0.025*D38-1.5)</f>
        <v>1.0471083333333335</v>
      </c>
      <c r="E40" s="4"/>
      <c r="F40" s="29"/>
      <c r="G40" s="39"/>
      <c r="H40" s="4"/>
    </row>
    <row r="41" spans="1:9" x14ac:dyDescent="0.25">
      <c r="A41" s="4"/>
      <c r="B41" s="29"/>
      <c r="C41" s="29"/>
      <c r="D41" s="29"/>
      <c r="E41" s="29"/>
      <c r="F41" s="29"/>
      <c r="G41" s="28"/>
      <c r="H41" s="29"/>
    </row>
  </sheetData>
  <phoneticPr fontId="8" type="noConversion"/>
  <conditionalFormatting sqref="D8 D17 D26 D31 D35:D36">
    <cfRule type="expression" dxfId="5" priority="6" stopIfTrue="1">
      <formula>$D8&gt;30</formula>
    </cfRule>
  </conditionalFormatting>
  <conditionalFormatting sqref="D5:D7">
    <cfRule type="expression" dxfId="4" priority="5" stopIfTrue="1">
      <formula>$D5&gt;30</formula>
    </cfRule>
  </conditionalFormatting>
  <conditionalFormatting sqref="D13:D16">
    <cfRule type="expression" dxfId="3" priority="4" stopIfTrue="1">
      <formula>$D13&gt;30</formula>
    </cfRule>
  </conditionalFormatting>
  <conditionalFormatting sqref="D21:D25">
    <cfRule type="expression" dxfId="2" priority="3" stopIfTrue="1">
      <formula>$D21&gt;30</formula>
    </cfRule>
  </conditionalFormatting>
  <conditionalFormatting sqref="D29:D30">
    <cfRule type="expression" dxfId="1" priority="2" stopIfTrue="1">
      <formula>$D29&gt;30</formula>
    </cfRule>
  </conditionalFormatting>
  <conditionalFormatting sqref="D34">
    <cfRule type="expression" dxfId="0" priority="1" stopIfTrue="1">
      <formula>$D34&gt;30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scale="92" fitToHeight="0" orientation="portrait" horizontalDpi="300" r:id="rId1"/>
  <headerFooter alignWithMargins="0">
    <oddFooter>&amp;L&amp;8Leitfaden Kostenabschätzungvon Planungsleistungen /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7"/>
  <sheetViews>
    <sheetView showGridLines="0" zoomScaleNormal="100" zoomScaleSheetLayoutView="100" workbookViewId="0">
      <selection activeCell="F60" sqref="F60"/>
    </sheetView>
  </sheetViews>
  <sheetFormatPr baseColWidth="10" defaultColWidth="11.44140625" defaultRowHeight="15" x14ac:dyDescent="0.25"/>
  <cols>
    <col min="1" max="1" width="8.109375" style="43" customWidth="1"/>
    <col min="2" max="2" width="37.33203125" style="43" customWidth="1"/>
    <col min="3" max="3" width="1" style="43" customWidth="1"/>
    <col min="4" max="4" width="12.88671875" style="43" customWidth="1"/>
    <col min="5" max="5" width="9.33203125" style="43" customWidth="1"/>
    <col min="6" max="6" width="8.109375" style="43" customWidth="1"/>
    <col min="7" max="7" width="9" style="43" customWidth="1"/>
    <col min="8" max="8" width="11.88671875" style="43" customWidth="1"/>
    <col min="9" max="9" width="16.33203125" style="43" customWidth="1"/>
    <col min="10" max="10" width="8.44140625" style="43" customWidth="1"/>
    <col min="11" max="11" width="7.6640625" style="43" customWidth="1"/>
    <col min="12" max="12" width="7.109375" style="43" customWidth="1"/>
    <col min="13" max="13" width="2.33203125" style="43" customWidth="1"/>
    <col min="14" max="14" width="27.44140625" style="43" customWidth="1"/>
    <col min="15" max="15" width="11.44140625" style="43"/>
    <col min="16" max="16" width="12" style="43" bestFit="1" customWidth="1"/>
    <col min="17" max="17" width="11.88671875" style="43" bestFit="1" customWidth="1"/>
    <col min="18" max="16384" width="11.44140625" style="43"/>
  </cols>
  <sheetData>
    <row r="1" spans="1:16" ht="17.399999999999999" x14ac:dyDescent="0.3">
      <c r="A1" s="71" t="s">
        <v>199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s="34" customFormat="1" ht="15.6" x14ac:dyDescent="0.3">
      <c r="A3" s="33" t="s">
        <v>61</v>
      </c>
      <c r="B3" s="33"/>
      <c r="C3" s="33"/>
      <c r="D3" s="389" t="str">
        <f>IF(Leistungsumfang!D3:I3="","",Leistungsumfang!D3:I3)</f>
        <v>20 Wohneinheiten mit Tiefgarage</v>
      </c>
      <c r="E3" s="389"/>
      <c r="F3" s="389"/>
      <c r="G3" s="389"/>
      <c r="H3" s="389"/>
      <c r="I3" s="389"/>
      <c r="J3" s="389"/>
      <c r="K3" s="389"/>
      <c r="L3" s="389"/>
      <c r="M3" s="43"/>
    </row>
    <row r="4" spans="1:16" s="34" customFormat="1" ht="15.6" x14ac:dyDescent="0.3">
      <c r="A4" s="33" t="s">
        <v>62</v>
      </c>
      <c r="B4" s="33"/>
      <c r="C4" s="33"/>
      <c r="D4" s="389" t="str">
        <f>IF(Leistungsumfang!D4:I4="","",Leistungsumfang!D4:I4)</f>
        <v>AG 02</v>
      </c>
      <c r="E4" s="389"/>
      <c r="F4" s="389"/>
      <c r="G4" s="389"/>
      <c r="H4" s="389"/>
      <c r="I4" s="389"/>
      <c r="J4" s="389"/>
      <c r="K4" s="389"/>
      <c r="L4" s="389"/>
      <c r="M4" s="43"/>
    </row>
    <row r="5" spans="1:16" s="34" customFormat="1" ht="15.6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43"/>
    </row>
    <row r="6" spans="1:16" x14ac:dyDescent="0.25">
      <c r="A6" s="42"/>
      <c r="B6" s="42" t="s">
        <v>63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6" s="84" customFormat="1" ht="17.25" customHeight="1" x14ac:dyDescent="0.25">
      <c r="A7" s="65"/>
      <c r="B7" s="58" t="s">
        <v>64</v>
      </c>
      <c r="C7" s="65"/>
      <c r="D7" s="399">
        <f>'Eingabe Stundensatz'!B3</f>
        <v>99.674199576000007</v>
      </c>
      <c r="E7" s="399"/>
      <c r="F7" s="65" t="s">
        <v>72</v>
      </c>
      <c r="G7" s="42"/>
      <c r="H7" s="42"/>
      <c r="I7" s="65"/>
      <c r="J7" s="65"/>
      <c r="K7" s="65"/>
      <c r="L7" s="65"/>
      <c r="M7" s="93"/>
      <c r="N7" s="386" t="s">
        <v>90</v>
      </c>
    </row>
    <row r="8" spans="1:16" s="84" customFormat="1" ht="17.25" customHeight="1" x14ac:dyDescent="0.25">
      <c r="A8" s="65"/>
      <c r="B8" s="58" t="s">
        <v>99</v>
      </c>
      <c r="C8" s="65"/>
      <c r="D8" s="399">
        <f>Projektklassenfaktor!D40</f>
        <v>1.0471083333333335</v>
      </c>
      <c r="E8" s="399"/>
      <c r="F8" s="65" t="s">
        <v>73</v>
      </c>
      <c r="G8" s="42"/>
      <c r="H8" s="42"/>
      <c r="I8" s="65"/>
      <c r="J8" s="65"/>
      <c r="K8" s="65"/>
      <c r="L8" s="65"/>
      <c r="M8" s="93"/>
      <c r="N8" s="405"/>
    </row>
    <row r="9" spans="1:16" s="84" customFormat="1" ht="17.25" customHeight="1" x14ac:dyDescent="0.25">
      <c r="A9" s="65"/>
      <c r="B9" s="58" t="s">
        <v>115</v>
      </c>
      <c r="C9" s="65"/>
      <c r="D9" s="407">
        <v>8</v>
      </c>
      <c r="E9" s="407"/>
      <c r="F9" s="65" t="s">
        <v>116</v>
      </c>
      <c r="G9" s="42"/>
      <c r="H9" s="42"/>
      <c r="I9" s="65"/>
      <c r="J9" s="65"/>
      <c r="K9" s="65"/>
      <c r="L9" s="65"/>
      <c r="M9" s="93"/>
      <c r="N9" s="405"/>
    </row>
    <row r="10" spans="1:16" s="84" customFormat="1" ht="17.25" customHeight="1" x14ac:dyDescent="0.25">
      <c r="A10" s="65"/>
      <c r="B10" s="58" t="s">
        <v>184</v>
      </c>
      <c r="C10" s="65"/>
      <c r="D10" s="399">
        <f>Projektannahmen!B5</f>
        <v>16</v>
      </c>
      <c r="E10" s="399"/>
      <c r="F10" s="65" t="s">
        <v>147</v>
      </c>
      <c r="G10" s="42"/>
      <c r="H10" s="42"/>
      <c r="I10" s="65"/>
      <c r="J10" s="65"/>
      <c r="K10" s="65"/>
      <c r="L10" s="65"/>
      <c r="M10" s="93"/>
      <c r="N10" s="405"/>
    </row>
    <row r="11" spans="1:16" s="84" customFormat="1" ht="17.25" customHeight="1" x14ac:dyDescent="0.25">
      <c r="A11" s="65"/>
      <c r="B11" s="58" t="s">
        <v>220</v>
      </c>
      <c r="C11" s="65"/>
      <c r="D11" s="408">
        <f>Projektannahmen!B6</f>
        <v>8000</v>
      </c>
      <c r="E11" s="408"/>
      <c r="F11" s="65" t="s">
        <v>215</v>
      </c>
      <c r="G11" s="42"/>
      <c r="H11" s="42"/>
      <c r="I11" s="84" t="s">
        <v>100</v>
      </c>
      <c r="J11" s="268">
        <f>Projektannahmen!B7</f>
        <v>599</v>
      </c>
      <c r="K11" s="65" t="s">
        <v>216</v>
      </c>
      <c r="L11" s="65"/>
      <c r="M11" s="93"/>
      <c r="N11" s="406"/>
    </row>
    <row r="12" spans="1:16" ht="15.6" thickBot="1" x14ac:dyDescent="0.3">
      <c r="A12" s="42"/>
      <c r="C12" s="42"/>
      <c r="D12" s="44"/>
      <c r="E12" s="42"/>
      <c r="F12" s="42"/>
      <c r="G12" s="42"/>
      <c r="H12" s="42"/>
      <c r="I12" s="42"/>
      <c r="J12" s="42"/>
      <c r="K12" s="42"/>
    </row>
    <row r="13" spans="1:16" s="59" customFormat="1" ht="25.5" customHeight="1" thickBot="1" x14ac:dyDescent="0.3">
      <c r="A13" s="67" t="s">
        <v>65</v>
      </c>
      <c r="B13" s="69" t="s">
        <v>66</v>
      </c>
      <c r="C13" s="50"/>
      <c r="D13" s="402" t="s">
        <v>67</v>
      </c>
      <c r="E13" s="403"/>
      <c r="F13" s="403"/>
      <c r="G13" s="403"/>
      <c r="H13" s="403"/>
      <c r="I13" s="403"/>
      <c r="J13" s="403"/>
      <c r="K13" s="403"/>
      <c r="L13" s="404"/>
      <c r="M13" s="43"/>
    </row>
    <row r="14" spans="1:16" s="1" customFormat="1" ht="6" customHeight="1" thickBot="1" x14ac:dyDescent="0.3">
      <c r="A14" s="60"/>
      <c r="B14" s="6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43"/>
    </row>
    <row r="15" spans="1:16" s="1" customFormat="1" ht="66" x14ac:dyDescent="0.25">
      <c r="A15" s="393" t="s">
        <v>68</v>
      </c>
      <c r="B15" s="394"/>
      <c r="C15" s="50"/>
      <c r="D15" s="111" t="s">
        <v>138</v>
      </c>
      <c r="E15" s="112"/>
      <c r="F15" s="112"/>
      <c r="G15" s="112" t="s">
        <v>114</v>
      </c>
      <c r="H15" s="113" t="s">
        <v>125</v>
      </c>
      <c r="I15" s="113" t="s">
        <v>113</v>
      </c>
      <c r="J15" s="113" t="s">
        <v>118</v>
      </c>
      <c r="K15" s="382" t="s">
        <v>75</v>
      </c>
      <c r="L15" s="383"/>
      <c r="M15" s="43"/>
      <c r="N15" s="392" t="s">
        <v>91</v>
      </c>
    </row>
    <row r="16" spans="1:16" s="1" customFormat="1" x14ac:dyDescent="0.25">
      <c r="A16" s="395"/>
      <c r="B16" s="396"/>
      <c r="C16" s="50"/>
      <c r="D16" s="106" t="s">
        <v>120</v>
      </c>
      <c r="E16" s="107"/>
      <c r="F16" s="107"/>
      <c r="G16" s="107" t="s">
        <v>110</v>
      </c>
      <c r="H16" s="107" t="s">
        <v>110</v>
      </c>
      <c r="I16" s="107" t="s">
        <v>111</v>
      </c>
      <c r="J16" s="107" t="s">
        <v>108</v>
      </c>
      <c r="K16" s="400"/>
      <c r="L16" s="401"/>
      <c r="M16" s="43"/>
      <c r="N16" s="392"/>
      <c r="P16" s="198"/>
    </row>
    <row r="17" spans="1:16" s="1" customFormat="1" ht="15.6" thickBot="1" x14ac:dyDescent="0.3">
      <c r="A17" s="397"/>
      <c r="B17" s="398"/>
      <c r="C17" s="50"/>
      <c r="D17" s="114" t="s">
        <v>121</v>
      </c>
      <c r="E17" s="115"/>
      <c r="F17" s="115"/>
      <c r="G17" s="115" t="s">
        <v>101</v>
      </c>
      <c r="H17" s="115" t="s">
        <v>123</v>
      </c>
      <c r="I17" s="115" t="s">
        <v>122</v>
      </c>
      <c r="J17" s="115"/>
      <c r="K17" s="390"/>
      <c r="L17" s="391"/>
      <c r="M17" s="43"/>
      <c r="N17" s="392"/>
      <c r="P17" s="198"/>
    </row>
    <row r="18" spans="1:16" s="1" customFormat="1" x14ac:dyDescent="0.25">
      <c r="A18" s="103"/>
      <c r="B18" s="103"/>
      <c r="C18" s="103"/>
      <c r="D18" s="103"/>
      <c r="E18" s="103"/>
      <c r="F18" s="103"/>
      <c r="G18" s="103"/>
      <c r="H18" s="104"/>
      <c r="I18" s="104"/>
      <c r="J18" s="103"/>
      <c r="K18" s="103"/>
      <c r="L18" s="103"/>
      <c r="M18" s="43"/>
      <c r="N18" s="392"/>
      <c r="P18" s="295"/>
    </row>
    <row r="19" spans="1:16" s="52" customFormat="1" ht="15" customHeight="1" x14ac:dyDescent="0.25">
      <c r="A19" s="54" t="s">
        <v>246</v>
      </c>
      <c r="B19" s="51" t="s">
        <v>245</v>
      </c>
      <c r="C19" s="53"/>
      <c r="D19" s="118">
        <v>3</v>
      </c>
      <c r="E19" s="119"/>
      <c r="F19" s="119"/>
      <c r="G19" s="118">
        <v>0</v>
      </c>
      <c r="H19" s="102">
        <f t="shared" ref="H19:H27" si="0">D19*$D$9+G19</f>
        <v>24</v>
      </c>
      <c r="I19" s="97">
        <f>H19*$D$7</f>
        <v>2392.1807898240004</v>
      </c>
      <c r="J19" s="61">
        <f t="shared" ref="J19:J27" si="1">I19/I$52</f>
        <v>2.812577565615676E-2</v>
      </c>
      <c r="K19" s="384"/>
      <c r="L19" s="385"/>
      <c r="M19" s="43"/>
      <c r="N19" s="392"/>
      <c r="P19" s="296"/>
    </row>
    <row r="20" spans="1:16" s="52" customFormat="1" x14ac:dyDescent="0.25">
      <c r="A20" s="56" t="s">
        <v>255</v>
      </c>
      <c r="B20" s="151" t="s">
        <v>213</v>
      </c>
      <c r="C20" s="53"/>
      <c r="D20" s="118">
        <v>0</v>
      </c>
      <c r="E20" s="119"/>
      <c r="F20" s="119"/>
      <c r="G20" s="118">
        <v>0</v>
      </c>
      <c r="H20" s="102">
        <f t="shared" si="0"/>
        <v>0</v>
      </c>
      <c r="I20" s="97">
        <f t="shared" ref="I20:I27" si="2">H20*$D$7</f>
        <v>0</v>
      </c>
      <c r="J20" s="61">
        <f t="shared" si="1"/>
        <v>0</v>
      </c>
      <c r="K20" s="384"/>
      <c r="L20" s="385"/>
      <c r="M20" s="43"/>
      <c r="N20" s="392"/>
      <c r="P20" s="296"/>
    </row>
    <row r="21" spans="1:16" s="52" customFormat="1" x14ac:dyDescent="0.25">
      <c r="A21" s="57" t="s">
        <v>261</v>
      </c>
      <c r="B21" s="55" t="s">
        <v>260</v>
      </c>
      <c r="C21" s="53"/>
      <c r="D21" s="118">
        <v>0</v>
      </c>
      <c r="E21" s="119"/>
      <c r="F21" s="119"/>
      <c r="G21" s="118">
        <v>0</v>
      </c>
      <c r="H21" s="102">
        <f t="shared" si="0"/>
        <v>0</v>
      </c>
      <c r="I21" s="97">
        <f t="shared" si="2"/>
        <v>0</v>
      </c>
      <c r="J21" s="61">
        <f t="shared" si="1"/>
        <v>0</v>
      </c>
      <c r="K21" s="384"/>
      <c r="L21" s="385"/>
      <c r="M21" s="43"/>
      <c r="N21" s="392"/>
      <c r="P21" s="296"/>
    </row>
    <row r="22" spans="1:16" s="52" customFormat="1" hidden="1" x14ac:dyDescent="0.25">
      <c r="A22" s="57"/>
      <c r="B22" s="55" t="s">
        <v>74</v>
      </c>
      <c r="C22" s="53"/>
      <c r="D22" s="118"/>
      <c r="E22" s="119"/>
      <c r="F22" s="119"/>
      <c r="G22" s="118"/>
      <c r="H22" s="102">
        <f t="shared" si="0"/>
        <v>0</v>
      </c>
      <c r="I22" s="97">
        <f t="shared" si="2"/>
        <v>0</v>
      </c>
      <c r="J22" s="61">
        <f t="shared" si="1"/>
        <v>0</v>
      </c>
      <c r="K22" s="384"/>
      <c r="L22" s="385"/>
      <c r="M22" s="43"/>
      <c r="N22" s="392"/>
      <c r="P22" s="296"/>
    </row>
    <row r="23" spans="1:16" s="52" customFormat="1" hidden="1" x14ac:dyDescent="0.25">
      <c r="A23" s="57" t="s">
        <v>84</v>
      </c>
      <c r="B23" s="55" t="s">
        <v>200</v>
      </c>
      <c r="C23" s="53"/>
      <c r="D23" s="118">
        <v>0</v>
      </c>
      <c r="E23" s="119"/>
      <c r="F23" s="119"/>
      <c r="G23" s="118">
        <v>0</v>
      </c>
      <c r="H23" s="102">
        <f t="shared" si="0"/>
        <v>0</v>
      </c>
      <c r="I23" s="97">
        <f t="shared" si="2"/>
        <v>0</v>
      </c>
      <c r="J23" s="61">
        <f t="shared" si="1"/>
        <v>0</v>
      </c>
      <c r="K23" s="384"/>
      <c r="L23" s="385"/>
      <c r="M23" s="43"/>
      <c r="N23" s="392"/>
      <c r="P23" s="296"/>
    </row>
    <row r="24" spans="1:16" s="52" customFormat="1" hidden="1" x14ac:dyDescent="0.25">
      <c r="A24" s="57" t="s">
        <v>84</v>
      </c>
      <c r="B24" s="55" t="s">
        <v>201</v>
      </c>
      <c r="C24" s="53"/>
      <c r="D24" s="118">
        <v>0</v>
      </c>
      <c r="E24" s="119"/>
      <c r="F24" s="119"/>
      <c r="G24" s="118">
        <v>0</v>
      </c>
      <c r="H24" s="102">
        <f t="shared" si="0"/>
        <v>0</v>
      </c>
      <c r="I24" s="97">
        <f t="shared" si="2"/>
        <v>0</v>
      </c>
      <c r="J24" s="61">
        <f t="shared" si="1"/>
        <v>0</v>
      </c>
      <c r="K24" s="384"/>
      <c r="L24" s="385"/>
      <c r="M24" s="43"/>
      <c r="N24" s="392"/>
      <c r="P24" s="296"/>
    </row>
    <row r="25" spans="1:16" s="52" customFormat="1" hidden="1" x14ac:dyDescent="0.25">
      <c r="A25" s="57" t="s">
        <v>84</v>
      </c>
      <c r="B25" s="55" t="s">
        <v>202</v>
      </c>
      <c r="C25" s="53"/>
      <c r="D25" s="118">
        <v>0</v>
      </c>
      <c r="E25" s="119"/>
      <c r="F25" s="119"/>
      <c r="G25" s="118">
        <v>0</v>
      </c>
      <c r="H25" s="102">
        <f t="shared" si="0"/>
        <v>0</v>
      </c>
      <c r="I25" s="97">
        <f t="shared" si="2"/>
        <v>0</v>
      </c>
      <c r="J25" s="61">
        <f t="shared" si="1"/>
        <v>0</v>
      </c>
      <c r="K25" s="384"/>
      <c r="L25" s="385"/>
      <c r="M25" s="43"/>
      <c r="N25" s="392"/>
      <c r="P25" s="296"/>
    </row>
    <row r="26" spans="1:16" s="52" customFormat="1" hidden="1" x14ac:dyDescent="0.25">
      <c r="A26" s="57" t="s">
        <v>84</v>
      </c>
      <c r="B26" s="55" t="s">
        <v>203</v>
      </c>
      <c r="C26" s="53"/>
      <c r="D26" s="118">
        <v>0</v>
      </c>
      <c r="E26" s="119"/>
      <c r="F26" s="119"/>
      <c r="G26" s="118">
        <v>0</v>
      </c>
      <c r="H26" s="102">
        <f t="shared" si="0"/>
        <v>0</v>
      </c>
      <c r="I26" s="97">
        <f t="shared" si="2"/>
        <v>0</v>
      </c>
      <c r="J26" s="61">
        <f t="shared" si="1"/>
        <v>0</v>
      </c>
      <c r="K26" s="384"/>
      <c r="L26" s="385"/>
      <c r="M26" s="43"/>
      <c r="N26" s="392"/>
      <c r="P26" s="296"/>
    </row>
    <row r="27" spans="1:16" s="52" customFormat="1" hidden="1" x14ac:dyDescent="0.25">
      <c r="A27" s="57" t="s">
        <v>84</v>
      </c>
      <c r="B27" s="55" t="s">
        <v>204</v>
      </c>
      <c r="C27" s="53"/>
      <c r="D27" s="118">
        <v>0</v>
      </c>
      <c r="E27" s="119"/>
      <c r="F27" s="119"/>
      <c r="G27" s="118">
        <v>0</v>
      </c>
      <c r="H27" s="102">
        <f t="shared" si="0"/>
        <v>0</v>
      </c>
      <c r="I27" s="97">
        <f t="shared" si="2"/>
        <v>0</v>
      </c>
      <c r="J27" s="61">
        <f t="shared" si="1"/>
        <v>0</v>
      </c>
      <c r="K27" s="384"/>
      <c r="L27" s="385"/>
      <c r="M27" s="43"/>
      <c r="N27" s="392"/>
      <c r="P27" s="296"/>
    </row>
    <row r="28" spans="1:16" s="1" customFormat="1" ht="15.6" thickBot="1" x14ac:dyDescent="0.3">
      <c r="A28" s="50"/>
      <c r="B28" s="50"/>
      <c r="C28" s="50"/>
      <c r="D28" s="50"/>
      <c r="E28" s="50"/>
      <c r="F28" s="50"/>
      <c r="G28" s="50"/>
      <c r="H28" s="62"/>
      <c r="I28" s="50"/>
      <c r="J28" s="50"/>
      <c r="K28" s="50"/>
      <c r="L28" s="50"/>
      <c r="M28" s="43"/>
      <c r="N28" s="321"/>
      <c r="P28" s="295"/>
    </row>
    <row r="29" spans="1:16" s="1" customFormat="1" ht="66" x14ac:dyDescent="0.25">
      <c r="A29" s="393" t="s">
        <v>69</v>
      </c>
      <c r="B29" s="394"/>
      <c r="C29" s="50"/>
      <c r="D29" s="111" t="s">
        <v>132</v>
      </c>
      <c r="E29" s="112" t="s">
        <v>112</v>
      </c>
      <c r="F29" s="112"/>
      <c r="G29" s="112" t="str">
        <f>G15</f>
        <v>Stunden optionale Leistung (inkl.PKF)</v>
      </c>
      <c r="H29" s="113" t="s">
        <v>125</v>
      </c>
      <c r="I29" s="113" t="s">
        <v>113</v>
      </c>
      <c r="J29" s="113" t="str">
        <f>J15</f>
        <v>Anteil an Anbots-preis</v>
      </c>
      <c r="K29" s="382" t="s">
        <v>75</v>
      </c>
      <c r="L29" s="383"/>
      <c r="M29" s="43"/>
      <c r="P29" s="198"/>
    </row>
    <row r="30" spans="1:16" s="1" customFormat="1" x14ac:dyDescent="0.25">
      <c r="A30" s="395"/>
      <c r="B30" s="396"/>
      <c r="C30" s="50"/>
      <c r="D30" s="106" t="s">
        <v>214</v>
      </c>
      <c r="E30" s="107" t="s">
        <v>108</v>
      </c>
      <c r="F30" s="107"/>
      <c r="G30" s="107" t="str">
        <f>G16</f>
        <v>[h]</v>
      </c>
      <c r="H30" s="107" t="s">
        <v>110</v>
      </c>
      <c r="I30" s="107" t="s">
        <v>111</v>
      </c>
      <c r="J30" s="107" t="s">
        <v>108</v>
      </c>
      <c r="K30" s="400"/>
      <c r="L30" s="401"/>
      <c r="M30" s="43"/>
      <c r="P30" s="198"/>
    </row>
    <row r="31" spans="1:16" s="1" customFormat="1" ht="19.8" thickBot="1" x14ac:dyDescent="0.3">
      <c r="A31" s="397"/>
      <c r="B31" s="398"/>
      <c r="C31" s="50"/>
      <c r="D31" s="114" t="s">
        <v>124</v>
      </c>
      <c r="E31" s="115" t="s">
        <v>126</v>
      </c>
      <c r="F31" s="115"/>
      <c r="G31" s="115" t="s">
        <v>133</v>
      </c>
      <c r="H31" s="115" t="s">
        <v>221</v>
      </c>
      <c r="I31" s="115" t="s">
        <v>134</v>
      </c>
      <c r="J31" s="115"/>
      <c r="K31" s="390"/>
      <c r="L31" s="391"/>
      <c r="M31" s="43"/>
      <c r="P31" s="198"/>
    </row>
    <row r="32" spans="1:16" s="1" customFormat="1" x14ac:dyDescent="0.25">
      <c r="A32" s="103"/>
      <c r="B32" s="103"/>
      <c r="C32" s="103"/>
      <c r="D32" s="103"/>
      <c r="E32" s="103"/>
      <c r="F32" s="103"/>
      <c r="G32" s="103"/>
      <c r="H32" s="104"/>
      <c r="I32" s="104"/>
      <c r="J32" s="103"/>
      <c r="K32" s="103"/>
      <c r="L32" s="103"/>
      <c r="M32" s="43"/>
      <c r="P32" s="198"/>
    </row>
    <row r="33" spans="1:16" s="52" customFormat="1" ht="15" customHeight="1" x14ac:dyDescent="0.25">
      <c r="A33" s="54" t="s">
        <v>247</v>
      </c>
      <c r="B33" s="51" t="s">
        <v>262</v>
      </c>
      <c r="C33" s="53"/>
      <c r="D33" s="315">
        <v>8.0000000000000002E-3</v>
      </c>
      <c r="E33" s="269">
        <f>Leistungsumfang!D16</f>
        <v>1</v>
      </c>
      <c r="F33" s="117"/>
      <c r="G33" s="118">
        <v>0</v>
      </c>
      <c r="H33" s="102">
        <f>D33*$D$11*$D$8*E33+G33</f>
        <v>67.014933333333346</v>
      </c>
      <c r="I33" s="97">
        <f>H33*$D$7</f>
        <v>6679.6598396390036</v>
      </c>
      <c r="J33" s="61">
        <f>I33/I$52</f>
        <v>7.8535290856068127E-2</v>
      </c>
      <c r="K33" s="384"/>
      <c r="L33" s="385"/>
      <c r="M33" s="43"/>
      <c r="N33" s="386" t="s">
        <v>93</v>
      </c>
      <c r="P33" s="296"/>
    </row>
    <row r="34" spans="1:16" s="52" customFormat="1" x14ac:dyDescent="0.25">
      <c r="A34" s="54" t="s">
        <v>248</v>
      </c>
      <c r="B34" s="51" t="s">
        <v>263</v>
      </c>
      <c r="C34" s="53"/>
      <c r="D34" s="315">
        <v>1.6E-2</v>
      </c>
      <c r="E34" s="269">
        <f>Leistungsumfang!D17</f>
        <v>1</v>
      </c>
      <c r="F34" s="117"/>
      <c r="G34" s="118">
        <v>0</v>
      </c>
      <c r="H34" s="102">
        <f>D34*$D$11*$D$8*E34+G34</f>
        <v>134.02986666666669</v>
      </c>
      <c r="I34" s="97">
        <f>H34*$D$7</f>
        <v>13359.319679278007</v>
      </c>
      <c r="J34" s="61">
        <f>I34/I$52</f>
        <v>0.15707058171213625</v>
      </c>
      <c r="K34" s="384"/>
      <c r="L34" s="385"/>
      <c r="M34" s="43"/>
      <c r="N34" s="387"/>
      <c r="P34" s="296"/>
    </row>
    <row r="35" spans="1:16" s="52" customFormat="1" x14ac:dyDescent="0.25">
      <c r="A35" s="54" t="s">
        <v>249</v>
      </c>
      <c r="B35" s="51" t="s">
        <v>250</v>
      </c>
      <c r="C35" s="53"/>
      <c r="D35" s="315">
        <v>0.02</v>
      </c>
      <c r="E35" s="269">
        <f>Leistungsumfang!D18</f>
        <v>1</v>
      </c>
      <c r="F35" s="117"/>
      <c r="G35" s="118">
        <v>0</v>
      </c>
      <c r="H35" s="102">
        <f>D35*$D$11*$D$8*E35+G35</f>
        <v>167.53733333333338</v>
      </c>
      <c r="I35" s="97">
        <f>H35*$D$7</f>
        <v>16699.149599097509</v>
      </c>
      <c r="J35" s="61">
        <f>I35/I$52</f>
        <v>0.19633822714017032</v>
      </c>
      <c r="K35" s="384"/>
      <c r="L35" s="385"/>
      <c r="M35" s="43"/>
      <c r="N35" s="387"/>
      <c r="P35" s="296"/>
    </row>
    <row r="36" spans="1:16" s="52" customFormat="1" x14ac:dyDescent="0.25">
      <c r="A36" s="54" t="s">
        <v>264</v>
      </c>
      <c r="B36" s="51" t="s">
        <v>252</v>
      </c>
      <c r="C36" s="53"/>
      <c r="D36" s="315">
        <v>3.2000000000000001E-2</v>
      </c>
      <c r="E36" s="269">
        <f>Leistungsumfang!D23</f>
        <v>1</v>
      </c>
      <c r="F36" s="117"/>
      <c r="G36" s="118">
        <v>0</v>
      </c>
      <c r="H36" s="102">
        <f>D36*$D$11*$D$8*E36+G36</f>
        <v>268.05973333333338</v>
      </c>
      <c r="I36" s="97">
        <f>H36*$D$7</f>
        <v>26718.639358556014</v>
      </c>
      <c r="J36" s="61">
        <f>I36/I$52</f>
        <v>0.31414116342427251</v>
      </c>
      <c r="K36" s="384"/>
      <c r="L36" s="385"/>
      <c r="M36" s="43"/>
      <c r="N36" s="387"/>
      <c r="P36" s="296"/>
    </row>
    <row r="37" spans="1:16" s="52" customFormat="1" x14ac:dyDescent="0.25">
      <c r="A37" s="54" t="s">
        <v>254</v>
      </c>
      <c r="B37" s="51" t="s">
        <v>253</v>
      </c>
      <c r="C37" s="53"/>
      <c r="D37" s="315">
        <v>3.0000000000000001E-3</v>
      </c>
      <c r="E37" s="269">
        <f>Leistungsumfang!D24</f>
        <v>1</v>
      </c>
      <c r="F37" s="117"/>
      <c r="G37" s="118">
        <v>0</v>
      </c>
      <c r="H37" s="102">
        <f>D37*$D$11*$D$8*E37+G37</f>
        <v>25.130600000000005</v>
      </c>
      <c r="I37" s="97">
        <f>H37*$D$7</f>
        <v>2504.8724398646264</v>
      </c>
      <c r="J37" s="61">
        <f>I37/I$52</f>
        <v>2.9450734071025549E-2</v>
      </c>
      <c r="K37" s="384"/>
      <c r="L37" s="385"/>
      <c r="M37" s="43"/>
      <c r="N37" s="388"/>
      <c r="P37" s="296"/>
    </row>
    <row r="38" spans="1:16" s="1" customFormat="1" ht="15.6" thickBot="1" x14ac:dyDescent="0.3">
      <c r="A38" s="50"/>
      <c r="B38" s="50"/>
      <c r="C38" s="50"/>
      <c r="D38" s="50"/>
      <c r="E38" s="50"/>
      <c r="F38" s="50"/>
      <c r="G38" s="50"/>
      <c r="H38" s="50"/>
      <c r="J38" s="50"/>
      <c r="K38" s="50"/>
      <c r="L38" s="50"/>
      <c r="M38" s="43"/>
      <c r="P38" s="295"/>
    </row>
    <row r="39" spans="1:16" s="1" customFormat="1" ht="66" x14ac:dyDescent="0.25">
      <c r="A39" s="393" t="s">
        <v>70</v>
      </c>
      <c r="B39" s="394"/>
      <c r="C39" s="50"/>
      <c r="D39" s="111" t="s">
        <v>127</v>
      </c>
      <c r="E39" s="112" t="s">
        <v>112</v>
      </c>
      <c r="F39" s="112" t="s">
        <v>117</v>
      </c>
      <c r="G39" s="112" t="str">
        <f>G15</f>
        <v>Stunden optionale Leistung (inkl.PKF)</v>
      </c>
      <c r="H39" s="113" t="s">
        <v>128</v>
      </c>
      <c r="I39" s="113" t="s">
        <v>113</v>
      </c>
      <c r="J39" s="113" t="str">
        <f>J15</f>
        <v>Anteil an Anbots-preis</v>
      </c>
      <c r="K39" s="382" t="s">
        <v>75</v>
      </c>
      <c r="L39" s="383"/>
      <c r="M39" s="43"/>
      <c r="N39" s="386" t="s">
        <v>92</v>
      </c>
      <c r="P39" s="198"/>
    </row>
    <row r="40" spans="1:16" s="1" customFormat="1" x14ac:dyDescent="0.25">
      <c r="A40" s="395"/>
      <c r="B40" s="396"/>
      <c r="C40" s="50"/>
      <c r="D40" s="106" t="s">
        <v>107</v>
      </c>
      <c r="E40" s="107" t="s">
        <v>108</v>
      </c>
      <c r="F40" s="107" t="s">
        <v>109</v>
      </c>
      <c r="G40" s="107" t="s">
        <v>110</v>
      </c>
      <c r="H40" s="107" t="s">
        <v>110</v>
      </c>
      <c r="I40" s="107" t="s">
        <v>111</v>
      </c>
      <c r="J40" s="107" t="s">
        <v>108</v>
      </c>
      <c r="K40" s="400"/>
      <c r="L40" s="401"/>
      <c r="M40" s="43"/>
      <c r="N40" s="387"/>
      <c r="P40" s="198"/>
    </row>
    <row r="41" spans="1:16" s="1" customFormat="1" ht="15.6" thickBot="1" x14ac:dyDescent="0.3">
      <c r="A41" s="397"/>
      <c r="B41" s="398"/>
      <c r="C41" s="50"/>
      <c r="D41" s="114" t="s">
        <v>129</v>
      </c>
      <c r="E41" s="115" t="s">
        <v>130</v>
      </c>
      <c r="F41" s="115" t="s">
        <v>131</v>
      </c>
      <c r="G41" s="115" t="s">
        <v>135</v>
      </c>
      <c r="H41" s="115" t="s">
        <v>136</v>
      </c>
      <c r="I41" s="115" t="s">
        <v>137</v>
      </c>
      <c r="J41" s="115"/>
      <c r="K41" s="390"/>
      <c r="L41" s="391"/>
      <c r="M41" s="43"/>
      <c r="N41" s="387"/>
      <c r="P41" s="198"/>
    </row>
    <row r="42" spans="1:16" s="1" customFormat="1" ht="11.25" customHeight="1" x14ac:dyDescent="0.25">
      <c r="A42" s="103"/>
      <c r="B42" s="103"/>
      <c r="C42" s="103"/>
      <c r="D42" s="103"/>
      <c r="E42" s="103"/>
      <c r="F42" s="103"/>
      <c r="G42" s="103"/>
      <c r="H42" s="301"/>
      <c r="I42" s="301"/>
      <c r="J42" s="103"/>
      <c r="K42" s="103"/>
      <c r="L42" s="103"/>
      <c r="M42" s="43"/>
      <c r="N42" s="387"/>
      <c r="P42" s="198"/>
    </row>
    <row r="43" spans="1:16" s="52" customFormat="1" x14ac:dyDescent="0.25">
      <c r="A43" s="56" t="s">
        <v>257</v>
      </c>
      <c r="B43" s="151" t="s">
        <v>256</v>
      </c>
      <c r="C43" s="53"/>
      <c r="D43" s="120">
        <v>7</v>
      </c>
      <c r="E43" s="269">
        <f>Leistungsumfang!D29</f>
        <v>1</v>
      </c>
      <c r="F43" s="270">
        <f>Leistungsumfang!E29</f>
        <v>8</v>
      </c>
      <c r="G43" s="118">
        <v>0</v>
      </c>
      <c r="H43" s="102">
        <f>D43*E43*F43*$D$8+G43</f>
        <v>58.638066666666674</v>
      </c>
      <c r="I43" s="97">
        <f>H43*$D$7</f>
        <v>5844.7023596841273</v>
      </c>
      <c r="J43" s="61">
        <f>I43/I$52</f>
        <v>6.8718379499059609E-2</v>
      </c>
      <c r="K43" s="384"/>
      <c r="L43" s="385"/>
      <c r="M43" s="43"/>
      <c r="N43" s="388"/>
      <c r="P43" s="297"/>
    </row>
    <row r="44" spans="1:16" s="52" customFormat="1" x14ac:dyDescent="0.25">
      <c r="A44" s="56" t="s">
        <v>259</v>
      </c>
      <c r="B44" s="151" t="s">
        <v>258</v>
      </c>
      <c r="C44" s="53"/>
      <c r="D44" s="120">
        <v>13</v>
      </c>
      <c r="E44" s="269">
        <f>Leistungsumfang!D30</f>
        <v>1</v>
      </c>
      <c r="F44" s="270">
        <f>Leistungsumfang!E30</f>
        <v>8</v>
      </c>
      <c r="G44" s="118">
        <v>0</v>
      </c>
      <c r="H44" s="102">
        <f>D44*E44*F44*$D$8+G44</f>
        <v>108.89926666666669</v>
      </c>
      <c r="I44" s="97">
        <f>H44*$D$7</f>
        <v>10854.447239413381</v>
      </c>
      <c r="J44" s="61">
        <f>I44/I$52</f>
        <v>0.1276198476411107</v>
      </c>
      <c r="K44" s="384"/>
      <c r="L44" s="385"/>
      <c r="M44" s="43"/>
      <c r="N44" s="319"/>
      <c r="P44" s="297"/>
    </row>
    <row r="45" spans="1:16" s="1" customFormat="1" ht="15" customHeight="1" thickBot="1" x14ac:dyDescent="0.3">
      <c r="A45" s="50"/>
      <c r="B45" s="50"/>
      <c r="C45" s="50"/>
      <c r="D45" s="50"/>
      <c r="E45" s="50"/>
      <c r="F45" s="50"/>
      <c r="G45" s="50"/>
      <c r="H45" s="50"/>
      <c r="I45" s="94"/>
      <c r="J45" s="50"/>
      <c r="K45" s="50"/>
      <c r="L45" s="50"/>
      <c r="M45" s="43"/>
      <c r="N45" s="386" t="s">
        <v>94</v>
      </c>
      <c r="P45" s="298"/>
    </row>
    <row r="46" spans="1:16" s="84" customFormat="1" ht="16.2" thickBot="1" x14ac:dyDescent="0.3">
      <c r="A46" s="63" t="s">
        <v>97</v>
      </c>
      <c r="B46" s="87"/>
      <c r="C46" s="66"/>
      <c r="D46" s="90"/>
      <c r="E46" s="108"/>
      <c r="F46" s="108"/>
      <c r="G46" s="108"/>
      <c r="H46" s="108" t="s">
        <v>145</v>
      </c>
      <c r="I46" s="109" t="s">
        <v>146</v>
      </c>
      <c r="J46" s="110"/>
      <c r="K46" s="108"/>
      <c r="L46" s="89"/>
      <c r="M46" s="65"/>
      <c r="N46" s="387"/>
      <c r="P46" s="66"/>
    </row>
    <row r="47" spans="1:16" s="84" customFormat="1" ht="8.25" customHeight="1" x14ac:dyDescent="0.25">
      <c r="A47" s="65"/>
      <c r="B47" s="65"/>
      <c r="C47" s="65"/>
      <c r="D47" s="65"/>
      <c r="E47" s="65"/>
      <c r="F47" s="65"/>
      <c r="G47" s="65"/>
      <c r="H47" s="65"/>
      <c r="I47" s="98"/>
      <c r="J47" s="65"/>
      <c r="K47" s="42"/>
      <c r="L47" s="42"/>
      <c r="M47" s="65"/>
      <c r="N47" s="387"/>
      <c r="P47" s="66"/>
    </row>
    <row r="48" spans="1:16" x14ac:dyDescent="0.25">
      <c r="A48" s="42"/>
      <c r="B48" s="116" t="s">
        <v>77</v>
      </c>
      <c r="C48" s="42"/>
      <c r="D48" s="42"/>
      <c r="E48" s="42"/>
      <c r="F48" s="42"/>
      <c r="G48" s="42"/>
      <c r="H48" s="46">
        <f>SUM(H19:H45)</f>
        <v>853.30980000000011</v>
      </c>
      <c r="I48" s="99"/>
      <c r="J48" s="50"/>
      <c r="K48" s="42"/>
      <c r="L48" s="42"/>
      <c r="N48" s="387"/>
      <c r="P48" s="41"/>
    </row>
    <row r="49" spans="1:16" x14ac:dyDescent="0.25">
      <c r="A49" s="42"/>
      <c r="B49" s="45" t="s">
        <v>78</v>
      </c>
      <c r="C49" s="42"/>
      <c r="D49" s="42"/>
      <c r="E49" s="42"/>
      <c r="F49" s="42"/>
      <c r="G49" s="42"/>
      <c r="H49" s="47"/>
      <c r="I49" s="100">
        <f>SUM(I14:I45)</f>
        <v>85052.971305356681</v>
      </c>
      <c r="J49" s="50"/>
      <c r="K49" s="42"/>
      <c r="L49" s="42"/>
      <c r="N49" s="388"/>
      <c r="P49" s="41"/>
    </row>
    <row r="50" spans="1:16" x14ac:dyDescent="0.25">
      <c r="A50" s="42"/>
      <c r="B50" s="45" t="s">
        <v>81</v>
      </c>
      <c r="C50" s="42"/>
      <c r="D50" s="42"/>
      <c r="E50" s="42"/>
      <c r="F50" s="42"/>
      <c r="G50" s="42"/>
      <c r="H50" s="42"/>
      <c r="I50" s="95">
        <v>0</v>
      </c>
      <c r="J50" s="61">
        <f>I50/I$52</f>
        <v>0</v>
      </c>
      <c r="K50" s="42"/>
      <c r="L50" s="42"/>
      <c r="P50" s="41"/>
    </row>
    <row r="51" spans="1:16" ht="6.75" customHeight="1" thickBot="1" x14ac:dyDescent="0.3">
      <c r="A51" s="42"/>
      <c r="B51" s="42"/>
      <c r="C51" s="42"/>
      <c r="D51" s="42"/>
      <c r="E51" s="42"/>
      <c r="F51" s="42"/>
      <c r="G51" s="42"/>
      <c r="H51" s="42"/>
      <c r="I51" s="99"/>
      <c r="J51" s="50"/>
      <c r="K51" s="42"/>
      <c r="L51" s="42"/>
      <c r="P51" s="41"/>
    </row>
    <row r="52" spans="1:16" ht="17.25" customHeight="1" thickBot="1" x14ac:dyDescent="0.3">
      <c r="A52" s="41"/>
      <c r="B52" s="266" t="s">
        <v>76</v>
      </c>
      <c r="C52" s="267"/>
      <c r="D52" s="267"/>
      <c r="E52" s="267"/>
      <c r="F52" s="267"/>
      <c r="G52" s="267"/>
      <c r="H52" s="267"/>
      <c r="I52" s="265">
        <f>I50+I49</f>
        <v>85052.971305356681</v>
      </c>
      <c r="J52" s="122">
        <f>SUM(J19:J50)</f>
        <v>0.99999999999999967</v>
      </c>
      <c r="K52" s="42"/>
      <c r="L52" s="42"/>
      <c r="P52" s="41"/>
    </row>
    <row r="53" spans="1:16" ht="6.75" customHeight="1" x14ac:dyDescent="0.25">
      <c r="A53" s="42"/>
      <c r="B53" s="45"/>
      <c r="D53" s="42"/>
      <c r="E53" s="42"/>
      <c r="F53" s="42"/>
      <c r="G53" s="42"/>
      <c r="I53" s="101"/>
      <c r="J53" s="1"/>
      <c r="K53" s="42"/>
      <c r="L53" s="42"/>
      <c r="P53" s="41"/>
    </row>
    <row r="54" spans="1:16" ht="15.6" thickBot="1" x14ac:dyDescent="0.3">
      <c r="A54" s="42"/>
      <c r="B54" s="45" t="s">
        <v>98</v>
      </c>
      <c r="C54" s="42"/>
      <c r="D54" s="42"/>
      <c r="E54" s="42"/>
      <c r="F54" s="42"/>
      <c r="G54" s="42"/>
      <c r="H54" s="42"/>
      <c r="I54" s="96">
        <f>I52*0.2</f>
        <v>17010.594261071335</v>
      </c>
      <c r="J54" s="50"/>
      <c r="K54" s="42"/>
      <c r="L54" s="42"/>
      <c r="P54" s="299"/>
    </row>
    <row r="55" spans="1:16" ht="17.25" customHeight="1" thickBot="1" x14ac:dyDescent="0.3">
      <c r="A55" s="41"/>
      <c r="B55" s="266" t="s">
        <v>71</v>
      </c>
      <c r="C55" s="267"/>
      <c r="D55" s="267"/>
      <c r="E55" s="267"/>
      <c r="F55" s="267"/>
      <c r="G55" s="267"/>
      <c r="H55" s="267"/>
      <c r="I55" s="265">
        <f>I54+I52</f>
        <v>102063.56556642802</v>
      </c>
      <c r="J55" s="50"/>
      <c r="K55" s="42"/>
      <c r="L55" s="42"/>
      <c r="P55" s="299"/>
    </row>
    <row r="56" spans="1:16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P56" s="41"/>
    </row>
    <row r="57" spans="1:16" x14ac:dyDescent="0.25">
      <c r="H57" s="94"/>
      <c r="I57" s="94"/>
      <c r="J57" s="94"/>
      <c r="K57" s="94"/>
      <c r="L57" s="94"/>
      <c r="P57" s="41"/>
    </row>
  </sheetData>
  <mergeCells count="41">
    <mergeCell ref="K23:L23"/>
    <mergeCell ref="K24:L24"/>
    <mergeCell ref="K25:L25"/>
    <mergeCell ref="N7:N11"/>
    <mergeCell ref="D7:E7"/>
    <mergeCell ref="D8:E8"/>
    <mergeCell ref="D9:E9"/>
    <mergeCell ref="D11:E11"/>
    <mergeCell ref="K16:L16"/>
    <mergeCell ref="A39:B41"/>
    <mergeCell ref="A15:B17"/>
    <mergeCell ref="A29:B31"/>
    <mergeCell ref="D10:E10"/>
    <mergeCell ref="K39:L39"/>
    <mergeCell ref="K19:L19"/>
    <mergeCell ref="K40:L40"/>
    <mergeCell ref="K30:L30"/>
    <mergeCell ref="K31:L31"/>
    <mergeCell ref="D13:L13"/>
    <mergeCell ref="K33:L33"/>
    <mergeCell ref="K34:L34"/>
    <mergeCell ref="K20:L20"/>
    <mergeCell ref="K21:L21"/>
    <mergeCell ref="K22:L22"/>
    <mergeCell ref="K15:L15"/>
    <mergeCell ref="K29:L29"/>
    <mergeCell ref="K26:L26"/>
    <mergeCell ref="K27:L27"/>
    <mergeCell ref="N45:N49"/>
    <mergeCell ref="D3:L3"/>
    <mergeCell ref="D4:L4"/>
    <mergeCell ref="K35:L35"/>
    <mergeCell ref="K36:L36"/>
    <mergeCell ref="K37:L37"/>
    <mergeCell ref="K43:L43"/>
    <mergeCell ref="N39:N43"/>
    <mergeCell ref="K41:L41"/>
    <mergeCell ref="N33:N37"/>
    <mergeCell ref="K44:L44"/>
    <mergeCell ref="N15:N27"/>
    <mergeCell ref="K17:L17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70" fitToHeight="0" orientation="portrait" horizontalDpi="300" r:id="rId1"/>
  <headerFooter alignWithMargins="0">
    <oddFooter>&amp;L&amp;8Leitfaden Kostenabschätzung von Planungsleistungen  /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K55"/>
  <sheetViews>
    <sheetView showGridLines="0" zoomScaleNormal="100" zoomScaleSheetLayoutView="100" workbookViewId="0">
      <selection activeCell="D31" sqref="D31"/>
    </sheetView>
  </sheetViews>
  <sheetFormatPr baseColWidth="10" defaultRowHeight="13.2" x14ac:dyDescent="0.25"/>
  <cols>
    <col min="1" max="1" width="13.5546875" customWidth="1"/>
    <col min="2" max="2" width="6.88671875" hidden="1" customWidth="1"/>
    <col min="3" max="3" width="3.6640625" customWidth="1"/>
    <col min="4" max="4" width="9.109375" customWidth="1"/>
    <col min="5" max="5" width="6.88671875" customWidth="1"/>
    <col min="6" max="6" width="7.5546875" customWidth="1"/>
    <col min="7" max="9" width="6.21875" bestFit="1" customWidth="1"/>
    <col min="10" max="13" width="6.109375" customWidth="1"/>
    <col min="14" max="15" width="5.5546875" bestFit="1" customWidth="1"/>
    <col min="16" max="20" width="5" bestFit="1" customWidth="1"/>
    <col min="21" max="21" width="4.88671875" customWidth="1"/>
    <col min="22" max="22" width="9.33203125" customWidth="1"/>
    <col min="23" max="23" width="12.77734375" bestFit="1" customWidth="1"/>
    <col min="24" max="24" width="14.6640625" bestFit="1" customWidth="1"/>
    <col min="26" max="26" width="11.5546875" bestFit="1" customWidth="1"/>
    <col min="27" max="27" width="11.5546875" customWidth="1"/>
    <col min="28" max="29" width="11.6640625" bestFit="1" customWidth="1"/>
    <col min="30" max="30" width="11.5546875" customWidth="1"/>
    <col min="31" max="31" width="11.5546875" bestFit="1" customWidth="1"/>
  </cols>
  <sheetData>
    <row r="1" spans="1:47" ht="17.399999999999999" x14ac:dyDescent="0.3">
      <c r="A1" s="71" t="s">
        <v>198</v>
      </c>
    </row>
    <row r="2" spans="1:47" ht="17.399999999999999" x14ac:dyDescent="0.3">
      <c r="A2" s="71"/>
    </row>
    <row r="3" spans="1:47" s="34" customFormat="1" ht="15.6" x14ac:dyDescent="0.3">
      <c r="A3" s="33" t="s">
        <v>61</v>
      </c>
      <c r="B3" s="33"/>
      <c r="C3" s="33"/>
      <c r="E3" s="274" t="str">
        <f>Honorarberechnung!D3</f>
        <v>20 Wohneinheiten mit Tiefgarage</v>
      </c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6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7" s="34" customFormat="1" ht="15.6" x14ac:dyDescent="0.3">
      <c r="A4" s="33" t="s">
        <v>62</v>
      </c>
      <c r="B4" s="33"/>
      <c r="C4" s="33"/>
      <c r="E4" s="274" t="str">
        <f>Honorarberechnung!D4</f>
        <v>AG 02</v>
      </c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6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7" s="34" customFormat="1" ht="15.6" x14ac:dyDescent="0.3">
      <c r="A5" s="33"/>
      <c r="B5" s="33"/>
      <c r="C5" s="33"/>
      <c r="D5" s="159"/>
      <c r="E5" s="159"/>
      <c r="F5" s="159"/>
      <c r="G5" s="159"/>
      <c r="H5" s="159"/>
      <c r="I5" s="159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59"/>
      <c r="Y5" s="308"/>
      <c r="Z5" s="48"/>
      <c r="AA5" s="48"/>
      <c r="AB5" s="48"/>
      <c r="AC5" s="48"/>
      <c r="AD5" s="48"/>
      <c r="AE5" s="48"/>
      <c r="AF5" s="48"/>
      <c r="AG5"/>
      <c r="AH5"/>
      <c r="AI5"/>
      <c r="AJ5"/>
      <c r="AK5"/>
      <c r="AL5"/>
      <c r="AM5"/>
      <c r="AN5"/>
      <c r="AO5"/>
      <c r="AP5"/>
      <c r="AQ5"/>
      <c r="AR5"/>
    </row>
    <row r="6" spans="1:47" ht="21.75" customHeight="1" x14ac:dyDescent="0.25">
      <c r="A6" s="412" t="s">
        <v>158</v>
      </c>
      <c r="B6" s="162"/>
      <c r="C6" s="413" t="s">
        <v>159</v>
      </c>
      <c r="D6" s="413" t="s">
        <v>160</v>
      </c>
      <c r="E6" s="413" t="s">
        <v>107</v>
      </c>
      <c r="F6" s="314" t="s">
        <v>222</v>
      </c>
      <c r="G6" s="414" t="s">
        <v>141</v>
      </c>
      <c r="H6" s="415"/>
      <c r="I6" s="416"/>
      <c r="J6" s="419" t="s">
        <v>161</v>
      </c>
      <c r="K6" s="420"/>
      <c r="L6" s="420"/>
      <c r="M6" s="421"/>
      <c r="N6" s="419" t="s">
        <v>142</v>
      </c>
      <c r="O6" s="420"/>
      <c r="P6" s="420"/>
      <c r="Q6" s="420"/>
      <c r="R6" s="420"/>
      <c r="S6" s="420"/>
      <c r="T6" s="420"/>
      <c r="U6" s="323"/>
      <c r="V6" s="314" t="s">
        <v>162</v>
      </c>
      <c r="Y6" s="48"/>
      <c r="Z6" s="48"/>
      <c r="AA6" s="48"/>
      <c r="AB6" s="48"/>
      <c r="AC6" s="48"/>
      <c r="AD6" s="48"/>
      <c r="AE6" s="48"/>
      <c r="AF6" s="48"/>
    </row>
    <row r="7" spans="1:47" s="136" customFormat="1" ht="19.5" customHeight="1" x14ac:dyDescent="0.25">
      <c r="A7" s="412"/>
      <c r="B7" s="412" t="s">
        <v>163</v>
      </c>
      <c r="C7" s="413"/>
      <c r="D7" s="413"/>
      <c r="E7" s="413"/>
      <c r="F7" s="417" t="s">
        <v>147</v>
      </c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161" t="s">
        <v>164</v>
      </c>
      <c r="Y7" s="339" t="s">
        <v>299</v>
      </c>
      <c r="Z7" s="340"/>
      <c r="AA7" s="340"/>
      <c r="AB7" s="340"/>
      <c r="AC7" s="48"/>
      <c r="AD7"/>
      <c r="AE7" s="339" t="s">
        <v>302</v>
      </c>
      <c r="AF7" s="340"/>
      <c r="AG7" s="340"/>
      <c r="AH7" s="340"/>
      <c r="AI7" s="48"/>
      <c r="AJ7"/>
      <c r="AK7" s="339" t="s">
        <v>305</v>
      </c>
      <c r="AL7" s="340"/>
      <c r="AM7" s="340"/>
      <c r="AN7" s="340"/>
      <c r="AO7" s="48"/>
      <c r="AQ7" s="1" t="s">
        <v>317</v>
      </c>
      <c r="AR7" s="1"/>
      <c r="AS7" s="1"/>
      <c r="AT7" s="1"/>
      <c r="AU7" s="1"/>
    </row>
    <row r="8" spans="1:47" ht="14.25" customHeight="1" thickBot="1" x14ac:dyDescent="0.3">
      <c r="A8" s="412"/>
      <c r="B8" s="412"/>
      <c r="C8" s="413"/>
      <c r="D8" s="413"/>
      <c r="E8" s="413"/>
      <c r="F8" s="197">
        <v>1</v>
      </c>
      <c r="G8" s="197">
        <v>2</v>
      </c>
      <c r="H8" s="197">
        <v>3</v>
      </c>
      <c r="I8" s="197">
        <v>4</v>
      </c>
      <c r="J8" s="197">
        <v>5</v>
      </c>
      <c r="K8" s="197">
        <v>6</v>
      </c>
      <c r="L8" s="197">
        <v>7</v>
      </c>
      <c r="M8" s="197">
        <v>8</v>
      </c>
      <c r="N8" s="197">
        <v>9</v>
      </c>
      <c r="O8" s="197">
        <v>10</v>
      </c>
      <c r="P8" s="197">
        <v>11</v>
      </c>
      <c r="Q8" s="197">
        <v>12</v>
      </c>
      <c r="R8" s="197">
        <v>13</v>
      </c>
      <c r="S8" s="197">
        <v>14</v>
      </c>
      <c r="T8" s="197">
        <v>15</v>
      </c>
      <c r="U8" s="197">
        <v>16</v>
      </c>
      <c r="V8" s="197">
        <v>17</v>
      </c>
      <c r="W8" s="163" t="s">
        <v>111</v>
      </c>
      <c r="X8" s="40"/>
      <c r="Y8" s="310"/>
      <c r="Z8" s="310"/>
      <c r="AA8" s="310"/>
      <c r="AB8" s="310"/>
      <c r="AC8" s="310"/>
      <c r="AD8" s="138"/>
      <c r="AE8" s="310"/>
      <c r="AF8" s="310"/>
      <c r="AG8" s="310"/>
      <c r="AH8" s="310"/>
      <c r="AI8" s="310"/>
      <c r="AJ8" s="138"/>
      <c r="AK8" s="310"/>
      <c r="AL8" s="310"/>
      <c r="AM8" s="310"/>
      <c r="AN8" s="310"/>
      <c r="AO8" s="310"/>
    </row>
    <row r="9" spans="1:47" ht="14.4" customHeight="1" thickBot="1" x14ac:dyDescent="0.3">
      <c r="A9" s="164" t="s">
        <v>299</v>
      </c>
      <c r="B9" s="165" t="s">
        <v>300</v>
      </c>
      <c r="C9" s="166" t="s">
        <v>301</v>
      </c>
      <c r="D9" s="167">
        <f>AC21</f>
        <v>109.90691208000001</v>
      </c>
      <c r="E9" s="224">
        <f>1679.1/12</f>
        <v>139.92499999999998</v>
      </c>
      <c r="F9" s="168">
        <v>0.1</v>
      </c>
      <c r="G9" s="168">
        <v>0.4</v>
      </c>
      <c r="H9" s="168">
        <v>0.4</v>
      </c>
      <c r="I9" s="168">
        <v>0.4</v>
      </c>
      <c r="J9" s="168">
        <v>0.35</v>
      </c>
      <c r="K9" s="168">
        <v>0.35</v>
      </c>
      <c r="L9" s="168">
        <v>0.35</v>
      </c>
      <c r="M9" s="168">
        <v>0.3</v>
      </c>
      <c r="N9" s="168">
        <v>0.05</v>
      </c>
      <c r="O9" s="168">
        <v>0.05</v>
      </c>
      <c r="P9" s="168">
        <v>0.05</v>
      </c>
      <c r="Q9" s="168">
        <v>0.02</v>
      </c>
      <c r="R9" s="168">
        <v>0</v>
      </c>
      <c r="S9" s="168">
        <v>0</v>
      </c>
      <c r="T9" s="168">
        <v>0</v>
      </c>
      <c r="U9" s="168">
        <v>0.02</v>
      </c>
      <c r="V9" s="168">
        <v>0</v>
      </c>
      <c r="W9" s="169"/>
      <c r="X9" s="123" t="s">
        <v>165</v>
      </c>
      <c r="Y9" s="341"/>
      <c r="Z9" s="342"/>
      <c r="AA9" s="342"/>
      <c r="AB9" s="343" t="s">
        <v>308</v>
      </c>
      <c r="AC9" s="344" t="s">
        <v>2</v>
      </c>
      <c r="AD9" s="138"/>
      <c r="AE9" s="341"/>
      <c r="AF9" s="342"/>
      <c r="AG9" s="342"/>
      <c r="AH9" s="343" t="s">
        <v>308</v>
      </c>
      <c r="AI9" s="344" t="s">
        <v>2</v>
      </c>
      <c r="AJ9" s="138"/>
      <c r="AK9" s="341"/>
      <c r="AL9" s="342"/>
      <c r="AM9" s="342"/>
      <c r="AN9" s="343" t="s">
        <v>308</v>
      </c>
      <c r="AO9" s="344" t="s">
        <v>2</v>
      </c>
      <c r="AP9" s="138"/>
      <c r="AQ9" s="361"/>
      <c r="AR9" s="48"/>
      <c r="AS9" s="48"/>
      <c r="AT9" s="362" t="s">
        <v>318</v>
      </c>
      <c r="AU9" s="363" t="s">
        <v>319</v>
      </c>
    </row>
    <row r="10" spans="1:47" x14ac:dyDescent="0.25">
      <c r="A10" s="409" t="s">
        <v>173</v>
      </c>
      <c r="B10" s="410"/>
      <c r="C10" s="410"/>
      <c r="D10" s="410"/>
      <c r="E10" s="411"/>
      <c r="F10" s="226">
        <f>$E$9*F9</f>
        <v>13.9925</v>
      </c>
      <c r="G10" s="226">
        <f t="shared" ref="G10:V10" si="0">$E$9*G9</f>
        <v>55.97</v>
      </c>
      <c r="H10" s="226">
        <f t="shared" si="0"/>
        <v>55.97</v>
      </c>
      <c r="I10" s="226">
        <f t="shared" si="0"/>
        <v>55.97</v>
      </c>
      <c r="J10" s="226">
        <f t="shared" si="0"/>
        <v>48.973749999999988</v>
      </c>
      <c r="K10" s="226">
        <f t="shared" si="0"/>
        <v>48.973749999999988</v>
      </c>
      <c r="L10" s="226">
        <f t="shared" si="0"/>
        <v>48.973749999999988</v>
      </c>
      <c r="M10" s="226">
        <f t="shared" si="0"/>
        <v>41.977499999999992</v>
      </c>
      <c r="N10" s="226">
        <f t="shared" si="0"/>
        <v>6.9962499999999999</v>
      </c>
      <c r="O10" s="226">
        <f t="shared" si="0"/>
        <v>6.9962499999999999</v>
      </c>
      <c r="P10" s="226">
        <f t="shared" si="0"/>
        <v>6.9962499999999999</v>
      </c>
      <c r="Q10" s="226">
        <f t="shared" si="0"/>
        <v>2.7984999999999998</v>
      </c>
      <c r="R10" s="226">
        <f t="shared" si="0"/>
        <v>0</v>
      </c>
      <c r="S10" s="226">
        <f t="shared" si="0"/>
        <v>0</v>
      </c>
      <c r="T10" s="226">
        <f t="shared" si="0"/>
        <v>0</v>
      </c>
      <c r="U10" s="226">
        <f t="shared" ref="U10" si="1">$E$9*U9</f>
        <v>2.7984999999999998</v>
      </c>
      <c r="V10" s="226">
        <f t="shared" si="0"/>
        <v>0</v>
      </c>
      <c r="W10" s="169"/>
      <c r="X10" s="170" t="s">
        <v>165</v>
      </c>
      <c r="Y10" s="48"/>
      <c r="Z10" s="48"/>
      <c r="AA10" s="48"/>
      <c r="AB10" s="48"/>
      <c r="AC10" s="48"/>
      <c r="AD10" s="138"/>
      <c r="AE10" s="48"/>
      <c r="AF10" s="48"/>
      <c r="AG10" s="48"/>
      <c r="AH10" s="48"/>
      <c r="AI10" s="48"/>
      <c r="AJ10" s="138"/>
      <c r="AK10" s="48"/>
      <c r="AL10" s="48"/>
      <c r="AM10" s="48"/>
      <c r="AN10" s="48"/>
      <c r="AO10" s="48"/>
      <c r="AP10" s="138"/>
      <c r="AQ10" s="48"/>
      <c r="AR10" s="48"/>
      <c r="AS10" s="48"/>
      <c r="AT10" s="48"/>
      <c r="AU10" s="48"/>
    </row>
    <row r="11" spans="1:47" x14ac:dyDescent="0.25">
      <c r="A11" s="409" t="s">
        <v>166</v>
      </c>
      <c r="B11" s="410"/>
      <c r="C11" s="410"/>
      <c r="D11" s="410"/>
      <c r="E11" s="411"/>
      <c r="F11" s="171">
        <f>$D$9*F10</f>
        <v>1537.8724672794001</v>
      </c>
      <c r="G11" s="171">
        <f t="shared" ref="G11:V11" si="2">$D$9*G10</f>
        <v>6151.4898691176004</v>
      </c>
      <c r="H11" s="171">
        <f t="shared" si="2"/>
        <v>6151.4898691176004</v>
      </c>
      <c r="I11" s="171">
        <f t="shared" si="2"/>
        <v>6151.4898691176004</v>
      </c>
      <c r="J11" s="171">
        <f t="shared" si="2"/>
        <v>5382.5536354778997</v>
      </c>
      <c r="K11" s="171">
        <f t="shared" si="2"/>
        <v>5382.5536354778997</v>
      </c>
      <c r="L11" s="171">
        <f t="shared" si="2"/>
        <v>5382.5536354778997</v>
      </c>
      <c r="M11" s="171">
        <f t="shared" si="2"/>
        <v>4613.6174018381998</v>
      </c>
      <c r="N11" s="171">
        <f t="shared" si="2"/>
        <v>768.93623363970005</v>
      </c>
      <c r="O11" s="171">
        <f t="shared" si="2"/>
        <v>768.93623363970005</v>
      </c>
      <c r="P11" s="171">
        <f t="shared" si="2"/>
        <v>768.93623363970005</v>
      </c>
      <c r="Q11" s="171">
        <f t="shared" si="2"/>
        <v>307.57449345588003</v>
      </c>
      <c r="R11" s="171">
        <f t="shared" si="2"/>
        <v>0</v>
      </c>
      <c r="S11" s="171">
        <f t="shared" si="2"/>
        <v>0</v>
      </c>
      <c r="T11" s="171">
        <f t="shared" si="2"/>
        <v>0</v>
      </c>
      <c r="U11" s="171">
        <f t="shared" ref="U11" si="3">$D$9*U10</f>
        <v>307.57449345588003</v>
      </c>
      <c r="V11" s="171">
        <f t="shared" si="2"/>
        <v>0</v>
      </c>
      <c r="W11" s="169">
        <f>SUM(F11:V11)</f>
        <v>43675.578070734977</v>
      </c>
      <c r="X11" s="170"/>
      <c r="Y11" s="49" t="s">
        <v>309</v>
      </c>
      <c r="Z11" s="48"/>
      <c r="AA11" s="48"/>
      <c r="AB11" s="345"/>
      <c r="AC11" s="346">
        <v>58</v>
      </c>
      <c r="AD11" s="138"/>
      <c r="AE11" s="49" t="s">
        <v>309</v>
      </c>
      <c r="AF11" s="48"/>
      <c r="AG11" s="48"/>
      <c r="AH11" s="345"/>
      <c r="AI11" s="346">
        <v>48</v>
      </c>
      <c r="AJ11" s="138"/>
      <c r="AK11" s="49" t="s">
        <v>309</v>
      </c>
      <c r="AL11" s="48"/>
      <c r="AM11" s="48"/>
      <c r="AN11" s="345"/>
      <c r="AO11" s="346">
        <v>28</v>
      </c>
      <c r="AP11" s="138"/>
      <c r="AQ11" s="339" t="s">
        <v>305</v>
      </c>
      <c r="AR11" s="48"/>
      <c r="AS11" s="48"/>
      <c r="AT11" s="364">
        <v>0.03</v>
      </c>
      <c r="AU11" s="365">
        <f>AO21</f>
        <v>53.058509279999996</v>
      </c>
    </row>
    <row r="12" spans="1:47" ht="14.4" customHeight="1" x14ac:dyDescent="0.25">
      <c r="A12" s="172" t="s">
        <v>302</v>
      </c>
      <c r="B12" s="173" t="s">
        <v>303</v>
      </c>
      <c r="C12" s="174" t="s">
        <v>304</v>
      </c>
      <c r="D12" s="175">
        <f>AI21</f>
        <v>90.957444480000007</v>
      </c>
      <c r="E12" s="225">
        <f>1679.1/12</f>
        <v>139.92499999999998</v>
      </c>
      <c r="F12" s="176">
        <v>0.05</v>
      </c>
      <c r="G12" s="176">
        <v>0.4</v>
      </c>
      <c r="H12" s="176">
        <v>0.45</v>
      </c>
      <c r="I12" s="176">
        <v>0.45</v>
      </c>
      <c r="J12" s="176">
        <v>0.15</v>
      </c>
      <c r="K12" s="176">
        <v>0.15</v>
      </c>
      <c r="L12" s="176">
        <v>0.15</v>
      </c>
      <c r="M12" s="176">
        <v>0.1</v>
      </c>
      <c r="N12" s="176">
        <v>0.1</v>
      </c>
      <c r="O12" s="176">
        <v>0.1</v>
      </c>
      <c r="P12" s="176">
        <v>0.05</v>
      </c>
      <c r="Q12" s="176">
        <v>0</v>
      </c>
      <c r="R12" s="176">
        <v>0</v>
      </c>
      <c r="S12" s="176">
        <v>0</v>
      </c>
      <c r="T12" s="176">
        <v>0</v>
      </c>
      <c r="U12" s="176">
        <v>0.02</v>
      </c>
      <c r="V12" s="176">
        <v>0</v>
      </c>
      <c r="W12" s="169"/>
      <c r="X12" s="123"/>
      <c r="Y12" s="347" t="s">
        <v>310</v>
      </c>
      <c r="Z12" s="348"/>
      <c r="AA12" s="48"/>
      <c r="AB12" s="349">
        <v>0.33</v>
      </c>
      <c r="AC12" s="350">
        <f>AC11*AB12</f>
        <v>19.14</v>
      </c>
      <c r="AD12" s="138"/>
      <c r="AE12" s="347" t="s">
        <v>310</v>
      </c>
      <c r="AF12" s="348"/>
      <c r="AG12" s="48"/>
      <c r="AH12" s="349">
        <v>0.33</v>
      </c>
      <c r="AI12" s="350">
        <f>AI11*AH12</f>
        <v>15.84</v>
      </c>
      <c r="AJ12" s="138"/>
      <c r="AK12" s="347" t="s">
        <v>310</v>
      </c>
      <c r="AL12" s="348"/>
      <c r="AM12" s="48"/>
      <c r="AN12" s="349">
        <v>0.33</v>
      </c>
      <c r="AO12" s="350">
        <f>AO11*AN12</f>
        <v>9.24</v>
      </c>
      <c r="AP12" s="138"/>
      <c r="AQ12" s="339" t="s">
        <v>302</v>
      </c>
      <c r="AR12" s="48"/>
      <c r="AS12" s="48"/>
      <c r="AT12" s="364">
        <v>0.45</v>
      </c>
      <c r="AU12" s="365">
        <f>AI21</f>
        <v>90.957444480000007</v>
      </c>
    </row>
    <row r="13" spans="1:47" x14ac:dyDescent="0.25">
      <c r="A13" s="409" t="s">
        <v>173</v>
      </c>
      <c r="B13" s="410"/>
      <c r="C13" s="410"/>
      <c r="D13" s="410"/>
      <c r="E13" s="411"/>
      <c r="F13" s="227">
        <f t="shared" ref="F13:V13" si="4">$E$12*F12</f>
        <v>6.9962499999999999</v>
      </c>
      <c r="G13" s="227">
        <f t="shared" si="4"/>
        <v>55.97</v>
      </c>
      <c r="H13" s="227">
        <f t="shared" si="4"/>
        <v>62.966249999999995</v>
      </c>
      <c r="I13" s="227">
        <f t="shared" si="4"/>
        <v>62.966249999999995</v>
      </c>
      <c r="J13" s="227">
        <f t="shared" si="4"/>
        <v>20.988749999999996</v>
      </c>
      <c r="K13" s="227">
        <f t="shared" si="4"/>
        <v>20.988749999999996</v>
      </c>
      <c r="L13" s="227">
        <f t="shared" si="4"/>
        <v>20.988749999999996</v>
      </c>
      <c r="M13" s="227">
        <f t="shared" si="4"/>
        <v>13.9925</v>
      </c>
      <c r="N13" s="227">
        <f t="shared" si="4"/>
        <v>13.9925</v>
      </c>
      <c r="O13" s="227">
        <f t="shared" si="4"/>
        <v>13.9925</v>
      </c>
      <c r="P13" s="227">
        <f t="shared" si="4"/>
        <v>6.9962499999999999</v>
      </c>
      <c r="Q13" s="227">
        <f t="shared" si="4"/>
        <v>0</v>
      </c>
      <c r="R13" s="227">
        <f t="shared" si="4"/>
        <v>0</v>
      </c>
      <c r="S13" s="227">
        <f t="shared" si="4"/>
        <v>0</v>
      </c>
      <c r="T13" s="227">
        <f t="shared" si="4"/>
        <v>0</v>
      </c>
      <c r="U13" s="227">
        <f t="shared" ref="U13" si="5">$E$12*U12</f>
        <v>2.7984999999999998</v>
      </c>
      <c r="V13" s="227">
        <f t="shared" si="4"/>
        <v>0</v>
      </c>
      <c r="W13" s="169"/>
      <c r="X13" s="170"/>
      <c r="Y13" s="48" t="s">
        <v>311</v>
      </c>
      <c r="Z13" s="48"/>
      <c r="AA13" s="48"/>
      <c r="AB13" s="351"/>
      <c r="AC13" s="352">
        <f>SUM(AC11:AC12)</f>
        <v>77.14</v>
      </c>
      <c r="AD13" s="138"/>
      <c r="AE13" s="48" t="s">
        <v>311</v>
      </c>
      <c r="AF13" s="48"/>
      <c r="AG13" s="48"/>
      <c r="AH13" s="351"/>
      <c r="AI13" s="352">
        <f>SUM(AI11:AI12)</f>
        <v>63.84</v>
      </c>
      <c r="AJ13" s="138"/>
      <c r="AK13" s="48" t="s">
        <v>311</v>
      </c>
      <c r="AL13" s="48"/>
      <c r="AM13" s="48"/>
      <c r="AN13" s="351"/>
      <c r="AO13" s="352">
        <f>SUM(AO11:AO12)</f>
        <v>37.24</v>
      </c>
      <c r="AP13" s="138"/>
      <c r="AQ13" s="339" t="s">
        <v>299</v>
      </c>
      <c r="AR13" s="48"/>
      <c r="AS13" s="48"/>
      <c r="AT13" s="364">
        <v>0.52</v>
      </c>
      <c r="AU13" s="365">
        <f>AC21</f>
        <v>109.90691208000001</v>
      </c>
    </row>
    <row r="14" spans="1:47" x14ac:dyDescent="0.25">
      <c r="A14" s="409" t="s">
        <v>166</v>
      </c>
      <c r="B14" s="410"/>
      <c r="C14" s="410"/>
      <c r="D14" s="410"/>
      <c r="E14" s="411"/>
      <c r="F14" s="177">
        <f t="shared" ref="F14:V14" si="6">$D$12*F13</f>
        <v>636.36102094320006</v>
      </c>
      <c r="G14" s="177">
        <f t="shared" si="6"/>
        <v>5090.8881675456005</v>
      </c>
      <c r="H14" s="177">
        <f t="shared" si="6"/>
        <v>5727.2491884888004</v>
      </c>
      <c r="I14" s="177">
        <f t="shared" si="6"/>
        <v>5727.2491884888004</v>
      </c>
      <c r="J14" s="177">
        <f t="shared" si="6"/>
        <v>1909.0830628295998</v>
      </c>
      <c r="K14" s="177">
        <f t="shared" si="6"/>
        <v>1909.0830628295998</v>
      </c>
      <c r="L14" s="177">
        <f t="shared" si="6"/>
        <v>1909.0830628295998</v>
      </c>
      <c r="M14" s="177">
        <f t="shared" si="6"/>
        <v>1272.7220418864001</v>
      </c>
      <c r="N14" s="177">
        <f t="shared" si="6"/>
        <v>1272.7220418864001</v>
      </c>
      <c r="O14" s="177">
        <f t="shared" si="6"/>
        <v>1272.7220418864001</v>
      </c>
      <c r="P14" s="177">
        <f t="shared" si="6"/>
        <v>636.36102094320006</v>
      </c>
      <c r="Q14" s="177">
        <f t="shared" si="6"/>
        <v>0</v>
      </c>
      <c r="R14" s="177">
        <f t="shared" si="6"/>
        <v>0</v>
      </c>
      <c r="S14" s="177">
        <f t="shared" si="6"/>
        <v>0</v>
      </c>
      <c r="T14" s="177">
        <f t="shared" si="6"/>
        <v>0</v>
      </c>
      <c r="U14" s="177">
        <f t="shared" ref="U14" si="7">$D$12*U13</f>
        <v>254.54440837728001</v>
      </c>
      <c r="V14" s="177">
        <f t="shared" si="6"/>
        <v>0</v>
      </c>
      <c r="W14" s="169">
        <f>SUM(F14:V14)</f>
        <v>27618.068308934886</v>
      </c>
      <c r="X14" s="170"/>
      <c r="Y14" s="48"/>
      <c r="Z14" s="48"/>
      <c r="AA14" s="48"/>
      <c r="AB14" s="351"/>
      <c r="AC14" s="353"/>
      <c r="AD14" s="138"/>
      <c r="AE14" s="48"/>
      <c r="AF14" s="48"/>
      <c r="AG14" s="48"/>
      <c r="AH14" s="351"/>
      <c r="AI14" s="353"/>
      <c r="AJ14" s="138"/>
      <c r="AK14" s="48"/>
      <c r="AL14" s="48"/>
      <c r="AM14" s="48"/>
      <c r="AN14" s="351"/>
      <c r="AO14" s="353"/>
      <c r="AP14" s="138"/>
      <c r="AQ14" s="366"/>
      <c r="AR14" s="348"/>
      <c r="AS14" s="48"/>
      <c r="AT14" s="364"/>
      <c r="AU14" s="365"/>
    </row>
    <row r="15" spans="1:47" ht="14.4" customHeight="1" x14ac:dyDescent="0.25">
      <c r="A15" s="164" t="s">
        <v>305</v>
      </c>
      <c r="B15" s="165" t="s">
        <v>306</v>
      </c>
      <c r="C15" s="166" t="s">
        <v>307</v>
      </c>
      <c r="D15" s="167">
        <f>AO21</f>
        <v>53.058509279999996</v>
      </c>
      <c r="E15" s="224">
        <f>1679.1/12</f>
        <v>139.92499999999998</v>
      </c>
      <c r="F15" s="168">
        <v>0.03</v>
      </c>
      <c r="G15" s="168">
        <v>0.05</v>
      </c>
      <c r="H15" s="168">
        <v>0.05</v>
      </c>
      <c r="I15" s="168">
        <v>0.05</v>
      </c>
      <c r="J15" s="168">
        <v>0.05</v>
      </c>
      <c r="K15" s="168">
        <v>0.05</v>
      </c>
      <c r="L15" s="168">
        <v>0.05</v>
      </c>
      <c r="M15" s="168">
        <v>0.05</v>
      </c>
      <c r="N15" s="168">
        <v>0.02</v>
      </c>
      <c r="O15" s="168"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v>0.02</v>
      </c>
      <c r="V15" s="168">
        <v>0</v>
      </c>
      <c r="W15" s="169"/>
      <c r="X15" s="123"/>
      <c r="Y15" s="347" t="s">
        <v>312</v>
      </c>
      <c r="Z15" s="348"/>
      <c r="AA15" s="48"/>
      <c r="AB15" s="349">
        <v>0.24979999999999999</v>
      </c>
      <c r="AC15" s="350">
        <f>AC13*AB15</f>
        <v>19.269572</v>
      </c>
      <c r="AD15" s="138"/>
      <c r="AE15" s="347" t="s">
        <v>312</v>
      </c>
      <c r="AF15" s="348"/>
      <c r="AG15" s="48"/>
      <c r="AH15" s="349">
        <v>0.24979999999999999</v>
      </c>
      <c r="AI15" s="350">
        <f>AI13*AH15</f>
        <v>15.947232</v>
      </c>
      <c r="AJ15" s="138"/>
      <c r="AK15" s="347" t="s">
        <v>312</v>
      </c>
      <c r="AL15" s="348"/>
      <c r="AM15" s="48"/>
      <c r="AN15" s="349">
        <v>0.24979999999999999</v>
      </c>
      <c r="AO15" s="350">
        <f>AO13*AN15</f>
        <v>9.3025520000000004</v>
      </c>
      <c r="AP15" s="138"/>
      <c r="AQ15" s="49" t="s">
        <v>309</v>
      </c>
      <c r="AR15" s="48"/>
      <c r="AS15" s="48"/>
      <c r="AT15" s="367">
        <f>SUM(AT11:AT14)</f>
        <v>1</v>
      </c>
      <c r="AU15" s="368">
        <f>AU11*AT11+AU12*AT12+AU13*AT13+AU14*AT14</f>
        <v>99.674199576000007</v>
      </c>
    </row>
    <row r="16" spans="1:47" x14ac:dyDescent="0.25">
      <c r="A16" s="409" t="s">
        <v>173</v>
      </c>
      <c r="B16" s="410"/>
      <c r="C16" s="410"/>
      <c r="D16" s="410"/>
      <c r="E16" s="411"/>
      <c r="F16" s="226">
        <f t="shared" ref="F16:V16" si="8">$E$15*F15</f>
        <v>4.1977499999999992</v>
      </c>
      <c r="G16" s="226">
        <f t="shared" si="8"/>
        <v>6.9962499999999999</v>
      </c>
      <c r="H16" s="226">
        <f t="shared" si="8"/>
        <v>6.9962499999999999</v>
      </c>
      <c r="I16" s="226">
        <f t="shared" si="8"/>
        <v>6.9962499999999999</v>
      </c>
      <c r="J16" s="226">
        <f t="shared" si="8"/>
        <v>6.9962499999999999</v>
      </c>
      <c r="K16" s="226">
        <f t="shared" si="8"/>
        <v>6.9962499999999999</v>
      </c>
      <c r="L16" s="226">
        <f t="shared" si="8"/>
        <v>6.9962499999999999</v>
      </c>
      <c r="M16" s="226">
        <f t="shared" si="8"/>
        <v>6.9962499999999999</v>
      </c>
      <c r="N16" s="226">
        <f t="shared" si="8"/>
        <v>2.7984999999999998</v>
      </c>
      <c r="O16" s="226">
        <f t="shared" si="8"/>
        <v>0</v>
      </c>
      <c r="P16" s="226">
        <f t="shared" si="8"/>
        <v>0</v>
      </c>
      <c r="Q16" s="226">
        <f t="shared" si="8"/>
        <v>0</v>
      </c>
      <c r="R16" s="226">
        <f t="shared" si="8"/>
        <v>0</v>
      </c>
      <c r="S16" s="226">
        <f t="shared" si="8"/>
        <v>0</v>
      </c>
      <c r="T16" s="226">
        <f t="shared" si="8"/>
        <v>0</v>
      </c>
      <c r="U16" s="226">
        <f t="shared" ref="U16" si="9">$E$15*U15</f>
        <v>2.7984999999999998</v>
      </c>
      <c r="V16" s="226">
        <f t="shared" si="8"/>
        <v>0</v>
      </c>
      <c r="W16" s="169"/>
      <c r="X16" s="170"/>
      <c r="Y16" s="48" t="s">
        <v>313</v>
      </c>
      <c r="Z16" s="48"/>
      <c r="AA16" s="48"/>
      <c r="AB16" s="351"/>
      <c r="AC16" s="352">
        <f>SUM(AC13:AC15)</f>
        <v>96.409571999999997</v>
      </c>
      <c r="AD16" s="138"/>
      <c r="AE16" s="48" t="s">
        <v>313</v>
      </c>
      <c r="AF16" s="48"/>
      <c r="AG16" s="48"/>
      <c r="AH16" s="351"/>
      <c r="AI16" s="352">
        <f>SUM(AI13:AI15)</f>
        <v>79.787232000000003</v>
      </c>
      <c r="AJ16" s="138"/>
      <c r="AK16" s="48" t="s">
        <v>313</v>
      </c>
      <c r="AL16" s="48"/>
      <c r="AM16" s="48"/>
      <c r="AN16" s="351"/>
      <c r="AO16" s="352">
        <f>SUM(AO13:AO15)</f>
        <v>46.542552000000001</v>
      </c>
      <c r="AP16" s="138"/>
      <c r="AQ16" s="138"/>
      <c r="AR16" s="138"/>
      <c r="AS16" s="138"/>
      <c r="AT16" s="138"/>
    </row>
    <row r="17" spans="1:46" x14ac:dyDescent="0.25">
      <c r="A17" s="409" t="s">
        <v>166</v>
      </c>
      <c r="B17" s="410"/>
      <c r="C17" s="410"/>
      <c r="D17" s="410"/>
      <c r="E17" s="411"/>
      <c r="F17" s="171">
        <f t="shared" ref="F17:K17" si="10">$D$15*F16</f>
        <v>222.72635733011995</v>
      </c>
      <c r="G17" s="171">
        <f t="shared" si="10"/>
        <v>371.21059555019997</v>
      </c>
      <c r="H17" s="171">
        <f t="shared" si="10"/>
        <v>371.21059555019997</v>
      </c>
      <c r="I17" s="171">
        <f t="shared" si="10"/>
        <v>371.21059555019997</v>
      </c>
      <c r="J17" s="171">
        <f t="shared" si="10"/>
        <v>371.21059555019997</v>
      </c>
      <c r="K17" s="171">
        <f t="shared" si="10"/>
        <v>371.21059555019997</v>
      </c>
      <c r="L17" s="171">
        <f>$D$15*L16</f>
        <v>371.21059555019997</v>
      </c>
      <c r="M17" s="171">
        <f t="shared" ref="M17:T17" si="11">$D$15*M16</f>
        <v>371.21059555019997</v>
      </c>
      <c r="N17" s="171">
        <f t="shared" si="11"/>
        <v>148.48423822007999</v>
      </c>
      <c r="O17" s="171">
        <f>$D$15*O16</f>
        <v>0</v>
      </c>
      <c r="P17" s="171">
        <f t="shared" si="11"/>
        <v>0</v>
      </c>
      <c r="Q17" s="171">
        <f t="shared" si="11"/>
        <v>0</v>
      </c>
      <c r="R17" s="171">
        <f t="shared" si="11"/>
        <v>0</v>
      </c>
      <c r="S17" s="171">
        <f>$D$15*S16</f>
        <v>0</v>
      </c>
      <c r="T17" s="171">
        <f t="shared" si="11"/>
        <v>0</v>
      </c>
      <c r="U17" s="171">
        <f>$D$15*U16</f>
        <v>148.48423822007999</v>
      </c>
      <c r="V17" s="171">
        <f>$D$15*V16</f>
        <v>0</v>
      </c>
      <c r="W17" s="169">
        <f>SUM(F17:V17)</f>
        <v>3118.1690026216802</v>
      </c>
      <c r="X17" s="170"/>
      <c r="Y17" s="48"/>
      <c r="Z17" s="48"/>
      <c r="AA17" s="48"/>
      <c r="AB17" s="351"/>
      <c r="AC17" s="353"/>
      <c r="AE17" s="48"/>
      <c r="AF17" s="48"/>
      <c r="AG17" s="48"/>
      <c r="AH17" s="351"/>
      <c r="AI17" s="353"/>
      <c r="AK17" s="48"/>
      <c r="AL17" s="48"/>
      <c r="AM17" s="48"/>
      <c r="AN17" s="351"/>
      <c r="AO17" s="353"/>
      <c r="AP17" s="138"/>
      <c r="AQ17" s="138"/>
      <c r="AR17" s="138"/>
      <c r="AS17" s="138"/>
      <c r="AT17" s="138"/>
    </row>
    <row r="18" spans="1:46" ht="6.9" customHeight="1" x14ac:dyDescent="0.25">
      <c r="A18" s="40"/>
      <c r="B18" s="40"/>
      <c r="C18" s="40"/>
      <c r="D18" s="178"/>
      <c r="E18" s="178"/>
      <c r="F18" s="178"/>
      <c r="G18" s="178"/>
      <c r="H18" s="178"/>
      <c r="I18" s="178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80"/>
      <c r="X18" s="40"/>
      <c r="Y18" s="354" t="s">
        <v>314</v>
      </c>
      <c r="Z18" s="48"/>
      <c r="AA18" s="48"/>
      <c r="AB18" s="355">
        <v>7.0000000000000007E-2</v>
      </c>
      <c r="AC18" s="356">
        <f>AC16*AB18</f>
        <v>6.7486700400000004</v>
      </c>
      <c r="AE18" s="354" t="s">
        <v>314</v>
      </c>
      <c r="AF18" s="48"/>
      <c r="AG18" s="48"/>
      <c r="AH18" s="355">
        <v>7.0000000000000007E-2</v>
      </c>
      <c r="AI18" s="356">
        <f>AI16*AH18</f>
        <v>5.5851062400000009</v>
      </c>
      <c r="AK18" s="354" t="s">
        <v>314</v>
      </c>
      <c r="AL18" s="48"/>
      <c r="AM18" s="48"/>
      <c r="AN18" s="355">
        <v>7.0000000000000007E-2</v>
      </c>
      <c r="AO18" s="356">
        <f>AO16*AN18</f>
        <v>3.2579786400000001</v>
      </c>
    </row>
    <row r="19" spans="1:46" ht="15" customHeight="1" x14ac:dyDescent="0.25">
      <c r="A19" s="181" t="s">
        <v>167</v>
      </c>
      <c r="B19" s="182"/>
      <c r="C19" s="182"/>
      <c r="D19" s="183"/>
      <c r="E19" s="184"/>
      <c r="F19" s="185">
        <f t="shared" ref="F19:K19" si="12">F10+F13+F16</f>
        <v>25.186499999999999</v>
      </c>
      <c r="G19" s="185">
        <f t="shared" si="12"/>
        <v>118.93625</v>
      </c>
      <c r="H19" s="185">
        <f t="shared" si="12"/>
        <v>125.9325</v>
      </c>
      <c r="I19" s="185">
        <f t="shared" si="12"/>
        <v>125.9325</v>
      </c>
      <c r="J19" s="185">
        <f t="shared" si="12"/>
        <v>76.958749999999981</v>
      </c>
      <c r="K19" s="185">
        <f t="shared" si="12"/>
        <v>76.958749999999981</v>
      </c>
      <c r="L19" s="185">
        <f t="shared" ref="L19:V19" si="13">L10+L13+L16</f>
        <v>76.958749999999981</v>
      </c>
      <c r="M19" s="185">
        <f>M10+M13+M16</f>
        <v>62.966249999999988</v>
      </c>
      <c r="N19" s="185">
        <f t="shared" si="13"/>
        <v>23.78725</v>
      </c>
      <c r="O19" s="185">
        <f t="shared" si="13"/>
        <v>20.98875</v>
      </c>
      <c r="P19" s="185">
        <f t="shared" si="13"/>
        <v>13.9925</v>
      </c>
      <c r="Q19" s="185">
        <f t="shared" si="13"/>
        <v>2.7984999999999998</v>
      </c>
      <c r="R19" s="185">
        <f t="shared" si="13"/>
        <v>0</v>
      </c>
      <c r="S19" s="185">
        <f t="shared" si="13"/>
        <v>0</v>
      </c>
      <c r="T19" s="185">
        <f t="shared" si="13"/>
        <v>0</v>
      </c>
      <c r="U19" s="185">
        <f t="shared" ref="U19" si="14">U10+U13+U16</f>
        <v>8.3954999999999984</v>
      </c>
      <c r="V19" s="185">
        <f t="shared" si="13"/>
        <v>0</v>
      </c>
      <c r="W19" s="186"/>
      <c r="X19" s="187"/>
      <c r="Y19" s="347" t="s">
        <v>315</v>
      </c>
      <c r="Z19" s="348"/>
      <c r="AA19" s="48"/>
      <c r="AB19" s="349">
        <v>7.0000000000000007E-2</v>
      </c>
      <c r="AC19" s="350">
        <f>AC16*AB19</f>
        <v>6.7486700400000004</v>
      </c>
      <c r="AE19" s="347" t="s">
        <v>315</v>
      </c>
      <c r="AF19" s="348"/>
      <c r="AG19" s="48"/>
      <c r="AH19" s="349">
        <v>7.0000000000000007E-2</v>
      </c>
      <c r="AI19" s="350">
        <f>AI16*AH19</f>
        <v>5.5851062400000009</v>
      </c>
      <c r="AK19" s="347" t="s">
        <v>315</v>
      </c>
      <c r="AL19" s="348"/>
      <c r="AM19" s="48"/>
      <c r="AN19" s="349">
        <v>7.0000000000000007E-2</v>
      </c>
      <c r="AO19" s="350">
        <f>AO16*AN19</f>
        <v>3.2579786400000001</v>
      </c>
    </row>
    <row r="20" spans="1:46" ht="6.9" customHeight="1" thickBot="1" x14ac:dyDescent="0.3">
      <c r="A20" s="40"/>
      <c r="B20" s="40"/>
      <c r="C20" s="40"/>
      <c r="D20" s="178"/>
      <c r="E20" s="178"/>
      <c r="F20" s="178"/>
      <c r="G20" s="178"/>
      <c r="H20" s="178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80"/>
      <c r="X20" s="40"/>
      <c r="Y20" s="48"/>
      <c r="Z20" s="48"/>
      <c r="AA20" s="48"/>
      <c r="AB20" s="357"/>
      <c r="AC20" s="358"/>
      <c r="AD20" s="1"/>
      <c r="AE20" s="48"/>
      <c r="AF20" s="48"/>
      <c r="AG20" s="48"/>
      <c r="AH20" s="357"/>
      <c r="AI20" s="358"/>
      <c r="AJ20" s="1"/>
      <c r="AK20" s="48"/>
      <c r="AL20" s="48"/>
      <c r="AM20" s="48"/>
      <c r="AN20" s="357"/>
      <c r="AO20" s="358"/>
    </row>
    <row r="21" spans="1:46" s="1" customFormat="1" ht="15" customHeight="1" thickBot="1" x14ac:dyDescent="0.35">
      <c r="A21" s="181" t="s">
        <v>156</v>
      </c>
      <c r="B21" s="182"/>
      <c r="C21" s="182"/>
      <c r="D21" s="182"/>
      <c r="E21" s="182"/>
      <c r="F21" s="182"/>
      <c r="G21" s="182"/>
      <c r="H21" s="182"/>
      <c r="I21" s="182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9">
        <f>SUM(W9:W17)</f>
        <v>74411.815382291548</v>
      </c>
      <c r="X21" s="40"/>
      <c r="Y21" s="309" t="s">
        <v>316</v>
      </c>
      <c r="Z21" s="48"/>
      <c r="AA21" s="48"/>
      <c r="AB21" s="359"/>
      <c r="AC21" s="360">
        <f>SUM(AC16:AC20)</f>
        <v>109.90691208000001</v>
      </c>
      <c r="AD21"/>
      <c r="AE21" s="309" t="s">
        <v>316</v>
      </c>
      <c r="AF21" s="48"/>
      <c r="AG21" s="48"/>
      <c r="AH21" s="359"/>
      <c r="AI21" s="360">
        <f>SUM(AI16:AI20)</f>
        <v>90.957444480000007</v>
      </c>
      <c r="AJ21"/>
      <c r="AK21" s="309" t="s">
        <v>316</v>
      </c>
      <c r="AL21" s="48"/>
      <c r="AM21" s="48"/>
      <c r="AN21" s="359"/>
      <c r="AO21" s="360">
        <f>SUM(AO16:AO20)</f>
        <v>53.058509279999996</v>
      </c>
    </row>
    <row r="22" spans="1:46" ht="12" customHeight="1" x14ac:dyDescent="0.25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</row>
    <row r="23" spans="1:46" s="1" customFormat="1" ht="13.8" x14ac:dyDescent="0.25">
      <c r="A23" s="190" t="s">
        <v>209</v>
      </c>
      <c r="B23" s="191"/>
      <c r="C23" s="191"/>
      <c r="D23" s="191"/>
      <c r="E23" s="191"/>
      <c r="F23" s="191"/>
      <c r="G23" s="191"/>
      <c r="H23" s="191"/>
      <c r="I23" s="191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3"/>
      <c r="X23" s="180"/>
    </row>
    <row r="24" spans="1:46" ht="6.75" customHeight="1" x14ac:dyDescent="0.25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</row>
    <row r="25" spans="1:46" s="1" customFormat="1" ht="13.8" x14ac:dyDescent="0.25">
      <c r="A25" s="190" t="s">
        <v>210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3"/>
      <c r="X25" s="180"/>
    </row>
    <row r="26" spans="1:46" ht="6.75" customHeight="1" x14ac:dyDescent="0.2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46" s="1" customFormat="1" ht="15" customHeight="1" x14ac:dyDescent="0.25">
      <c r="A27" s="181" t="s">
        <v>156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4">
        <f>SUM(W21,W23,W25)</f>
        <v>74411.815382291548</v>
      </c>
      <c r="X27" s="180"/>
    </row>
    <row r="28" spans="1:46" ht="12.75" customHeight="1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</row>
    <row r="29" spans="1:46" s="1" customFormat="1" ht="13.8" x14ac:dyDescent="0.25">
      <c r="A29" s="190" t="s">
        <v>168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5">
        <v>0</v>
      </c>
      <c r="X29" s="292"/>
    </row>
    <row r="30" spans="1:46" ht="6.9" customHeight="1" x14ac:dyDescent="0.25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293"/>
    </row>
    <row r="31" spans="1:46" s="1" customFormat="1" ht="13.8" x14ac:dyDescent="0.25">
      <c r="A31" s="271" t="s">
        <v>76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3">
        <f>W27*(1+W29)</f>
        <v>74411.815382291548</v>
      </c>
      <c r="X31" s="292"/>
    </row>
    <row r="32" spans="1:46" ht="12" customHeight="1" x14ac:dyDescent="0.25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293"/>
    </row>
    <row r="33" spans="1:89" s="1" customFormat="1" ht="13.8" x14ac:dyDescent="0.25">
      <c r="A33" s="190" t="s">
        <v>169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6">
        <f>W31*0.2</f>
        <v>14882.36307645831</v>
      </c>
      <c r="X33" s="294"/>
    </row>
    <row r="34" spans="1:89" ht="6.9" customHeight="1" x14ac:dyDescent="0.25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293"/>
    </row>
    <row r="35" spans="1:89" s="1" customFormat="1" ht="13.8" x14ac:dyDescent="0.25">
      <c r="A35" s="271" t="s">
        <v>71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3">
        <f>W31+W33</f>
        <v>89294.178458749855</v>
      </c>
      <c r="X35" s="292"/>
    </row>
    <row r="36" spans="1:89" x14ac:dyDescent="0.25">
      <c r="X36" s="228"/>
    </row>
    <row r="37" spans="1:89" x14ac:dyDescent="0.25">
      <c r="A37" s="40" t="s">
        <v>212</v>
      </c>
      <c r="X37" s="228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</row>
    <row r="38" spans="1:89" x14ac:dyDescent="0.25">
      <c r="X38" s="228"/>
      <c r="Z38" s="28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</row>
    <row r="39" spans="1:89" x14ac:dyDescent="0.25"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</row>
    <row r="40" spans="1:89" x14ac:dyDescent="0.25"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</row>
    <row r="41" spans="1:89" x14ac:dyDescent="0.25"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</row>
    <row r="42" spans="1:89" x14ac:dyDescent="0.25"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</row>
    <row r="43" spans="1:89" x14ac:dyDescent="0.25"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</row>
    <row r="44" spans="1:89" x14ac:dyDescent="0.25"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</row>
    <row r="45" spans="1:89" x14ac:dyDescent="0.25"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</row>
    <row r="46" spans="1:89" x14ac:dyDescent="0.25"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</row>
    <row r="47" spans="1:89" x14ac:dyDescent="0.25"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</row>
    <row r="48" spans="1:89" x14ac:dyDescent="0.25"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</row>
    <row r="49" spans="26:89" x14ac:dyDescent="0.25"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</row>
    <row r="50" spans="26:89" x14ac:dyDescent="0.25"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</row>
    <row r="51" spans="26:89" x14ac:dyDescent="0.25"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</row>
    <row r="52" spans="26:89" x14ac:dyDescent="0.25"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</row>
    <row r="53" spans="26:89" x14ac:dyDescent="0.25"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</row>
    <row r="54" spans="26:89" x14ac:dyDescent="0.25"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</row>
    <row r="55" spans="26:89" x14ac:dyDescent="0.25"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</row>
  </sheetData>
  <mergeCells count="15">
    <mergeCell ref="G6:I6"/>
    <mergeCell ref="F7:V7"/>
    <mergeCell ref="B7:B8"/>
    <mergeCell ref="A11:E11"/>
    <mergeCell ref="J6:M6"/>
    <mergeCell ref="N6:T6"/>
    <mergeCell ref="A10:E10"/>
    <mergeCell ref="A14:E14"/>
    <mergeCell ref="A17:E17"/>
    <mergeCell ref="A6:A8"/>
    <mergeCell ref="C6:C8"/>
    <mergeCell ref="D6:D8"/>
    <mergeCell ref="E6:E8"/>
    <mergeCell ref="A13:E13"/>
    <mergeCell ref="A16:E16"/>
  </mergeCells>
  <pageMargins left="0.7" right="0.7" top="0.78740157499999996" bottom="0.78740157499999996" header="0.3" footer="0.3"/>
  <pageSetup paperSize="9" scale="60" orientation="landscape" r:id="rId1"/>
  <rowBreaks count="1" manualBreakCount="1">
    <brk id="35" max="16383" man="1"/>
  </rowBreaks>
  <colBreaks count="1" manualBreakCount="1">
    <brk id="23" max="10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72"/>
  <sheetViews>
    <sheetView showGridLines="0" zoomScaleNormal="100" zoomScaleSheetLayoutView="100" workbookViewId="0">
      <selection activeCell="M15" sqref="M15"/>
    </sheetView>
  </sheetViews>
  <sheetFormatPr baseColWidth="10" defaultColWidth="11.44140625" defaultRowHeight="15" x14ac:dyDescent="0.25"/>
  <cols>
    <col min="1" max="1" width="8.6640625" style="43" customWidth="1"/>
    <col min="2" max="2" width="37.33203125" style="43" customWidth="1"/>
    <col min="3" max="3" width="1.109375" style="43" customWidth="1"/>
    <col min="4" max="4" width="12.88671875" style="43" customWidth="1"/>
    <col min="5" max="5" width="9.88671875" style="43" customWidth="1"/>
    <col min="6" max="6" width="9" style="43" customWidth="1"/>
    <col min="7" max="7" width="10.6640625" style="43" customWidth="1"/>
    <col min="8" max="8" width="1.88671875" style="43" customWidth="1"/>
    <col min="9" max="9" width="6.33203125" style="43" customWidth="1"/>
    <col min="10" max="10" width="9.88671875" style="43" customWidth="1"/>
    <col min="11" max="11" width="11.33203125" style="43" customWidth="1"/>
    <col min="12" max="12" width="12.33203125" style="43" bestFit="1" customWidth="1"/>
    <col min="13" max="15" width="11.44140625" style="43"/>
    <col min="16" max="16" width="13.88671875" style="43" customWidth="1"/>
    <col min="17" max="17" width="14.6640625" style="43" customWidth="1"/>
    <col min="18" max="16384" width="11.44140625" style="43"/>
  </cols>
  <sheetData>
    <row r="1" spans="1:20" ht="17.399999999999999" x14ac:dyDescent="0.3">
      <c r="A1" s="71" t="s">
        <v>149</v>
      </c>
      <c r="B1" s="42"/>
      <c r="C1" s="42"/>
      <c r="D1" s="42"/>
      <c r="E1" s="42"/>
      <c r="F1" s="42"/>
    </row>
    <row r="2" spans="1:20" ht="9" customHeight="1" x14ac:dyDescent="0.25">
      <c r="A2" s="42"/>
      <c r="B2" s="42"/>
      <c r="C2" s="42"/>
      <c r="D2" s="42"/>
      <c r="E2" s="42"/>
      <c r="F2" s="42"/>
    </row>
    <row r="3" spans="1:20" s="34" customFormat="1" ht="15.6" x14ac:dyDescent="0.3">
      <c r="A3" s="33" t="s">
        <v>61</v>
      </c>
      <c r="B3" s="33"/>
      <c r="C3" s="33"/>
      <c r="D3" s="430" t="str">
        <f>Honorarberechnung!D3</f>
        <v>20 Wohneinheiten mit Tiefgarage</v>
      </c>
      <c r="E3" s="430"/>
      <c r="F3" s="430"/>
      <c r="G3" s="430"/>
      <c r="H3" s="430"/>
      <c r="I3" s="430"/>
      <c r="J3" s="430"/>
      <c r="K3" s="430"/>
    </row>
    <row r="4" spans="1:20" s="34" customFormat="1" ht="15.6" x14ac:dyDescent="0.3">
      <c r="A4" s="33" t="s">
        <v>62</v>
      </c>
      <c r="B4" s="33"/>
      <c r="C4" s="33"/>
      <c r="D4" s="430" t="str">
        <f>Honorarberechnung!D4</f>
        <v>AG 02</v>
      </c>
      <c r="E4" s="430"/>
      <c r="F4" s="430"/>
      <c r="G4" s="430"/>
      <c r="H4" s="430"/>
      <c r="I4" s="430"/>
      <c r="J4" s="430"/>
      <c r="K4" s="430"/>
    </row>
    <row r="5" spans="1:20" s="34" customFormat="1" ht="15.75" hidden="1" customHeight="1" x14ac:dyDescent="0.3">
      <c r="A5" s="33"/>
      <c r="B5" s="33"/>
      <c r="C5" s="33"/>
      <c r="D5" s="33"/>
      <c r="E5" s="33"/>
      <c r="F5" s="33"/>
    </row>
    <row r="6" spans="1:20" ht="15" hidden="1" customHeight="1" x14ac:dyDescent="0.25">
      <c r="A6" s="42"/>
      <c r="B6" s="42" t="s">
        <v>63</v>
      </c>
      <c r="C6" s="42"/>
      <c r="D6" s="42"/>
      <c r="E6" s="42"/>
      <c r="F6" s="42"/>
    </row>
    <row r="7" spans="1:20" s="1" customFormat="1" ht="18" hidden="1" customHeight="1" x14ac:dyDescent="0.25">
      <c r="A7" s="50"/>
      <c r="B7" s="58" t="s">
        <v>64</v>
      </c>
      <c r="C7" s="65"/>
      <c r="D7" s="431">
        <v>83.142487849446525</v>
      </c>
      <c r="E7" s="431"/>
      <c r="F7" s="65" t="s">
        <v>72</v>
      </c>
    </row>
    <row r="8" spans="1:20" s="1" customFormat="1" ht="18" hidden="1" customHeight="1" x14ac:dyDescent="0.25">
      <c r="A8" s="50"/>
      <c r="B8" s="58" t="s">
        <v>99</v>
      </c>
      <c r="C8" s="65"/>
      <c r="D8" s="431">
        <v>1.1893150000000001</v>
      </c>
      <c r="E8" s="431"/>
      <c r="F8" s="65" t="s">
        <v>73</v>
      </c>
    </row>
    <row r="9" spans="1:20" s="1" customFormat="1" ht="18" hidden="1" customHeight="1" x14ac:dyDescent="0.25">
      <c r="A9" s="50"/>
      <c r="B9" s="58" t="s">
        <v>115</v>
      </c>
      <c r="C9" s="65"/>
      <c r="D9" s="407">
        <v>8</v>
      </c>
      <c r="E9" s="407"/>
      <c r="F9" s="65" t="s">
        <v>116</v>
      </c>
    </row>
    <row r="10" spans="1:20" s="1" customFormat="1" ht="18" hidden="1" customHeight="1" x14ac:dyDescent="0.25">
      <c r="A10" s="50"/>
      <c r="B10" s="58" t="s">
        <v>85</v>
      </c>
      <c r="C10" s="65"/>
      <c r="D10" s="432">
        <v>8500</v>
      </c>
      <c r="E10" s="432"/>
      <c r="F10" s="65" t="s">
        <v>86</v>
      </c>
      <c r="I10" s="140" t="s">
        <v>100</v>
      </c>
      <c r="J10" s="139">
        <v>1322.5</v>
      </c>
      <c r="K10" s="65" t="s">
        <v>87</v>
      </c>
    </row>
    <row r="11" spans="1:20" s="1" customFormat="1" ht="18" hidden="1" customHeight="1" x14ac:dyDescent="0.25">
      <c r="A11" s="50"/>
      <c r="B11" s="58" t="s">
        <v>150</v>
      </c>
      <c r="C11" s="65"/>
      <c r="D11" s="423">
        <v>16</v>
      </c>
      <c r="E11" s="423"/>
      <c r="F11" s="65" t="s">
        <v>151</v>
      </c>
    </row>
    <row r="12" spans="1:20" s="1" customFormat="1" ht="14.4" thickBot="1" x14ac:dyDescent="0.3">
      <c r="A12" s="50"/>
      <c r="B12" s="50"/>
      <c r="C12" s="50"/>
      <c r="D12" s="141"/>
      <c r="E12" s="141"/>
      <c r="F12" s="50"/>
    </row>
    <row r="13" spans="1:20" s="59" customFormat="1" ht="33" customHeight="1" x14ac:dyDescent="0.25">
      <c r="A13" s="437" t="s">
        <v>65</v>
      </c>
      <c r="B13" s="433" t="s">
        <v>66</v>
      </c>
      <c r="C13" s="50"/>
      <c r="D13" s="427" t="s">
        <v>181</v>
      </c>
      <c r="E13" s="428"/>
      <c r="F13" s="428"/>
      <c r="G13" s="429"/>
      <c r="H13" s="203"/>
      <c r="I13" s="441" t="s">
        <v>175</v>
      </c>
      <c r="J13" s="442"/>
      <c r="K13" s="443"/>
    </row>
    <row r="14" spans="1:20" s="59" customFormat="1" ht="76.5" customHeight="1" x14ac:dyDescent="0.25">
      <c r="A14" s="438"/>
      <c r="B14" s="434"/>
      <c r="C14" s="50"/>
      <c r="D14" s="142" t="s">
        <v>194</v>
      </c>
      <c r="E14" s="143" t="s">
        <v>193</v>
      </c>
      <c r="F14" s="144" t="s">
        <v>117</v>
      </c>
      <c r="G14" s="209" t="s">
        <v>174</v>
      </c>
      <c r="H14" s="204"/>
      <c r="I14" s="444"/>
      <c r="J14" s="445"/>
      <c r="K14" s="446"/>
    </row>
    <row r="15" spans="1:20" s="59" customFormat="1" ht="14.25" customHeight="1" x14ac:dyDescent="0.25">
      <c r="A15" s="439"/>
      <c r="B15" s="435"/>
      <c r="C15" s="50"/>
      <c r="D15" s="106" t="s">
        <v>107</v>
      </c>
      <c r="E15" s="145" t="s">
        <v>108</v>
      </c>
      <c r="F15" s="107" t="s">
        <v>109</v>
      </c>
      <c r="G15" s="210" t="s">
        <v>110</v>
      </c>
      <c r="H15" s="204"/>
      <c r="I15" s="447"/>
      <c r="J15" s="448"/>
      <c r="K15" s="449"/>
    </row>
    <row r="16" spans="1:20" s="59" customFormat="1" ht="15" customHeight="1" thickBot="1" x14ac:dyDescent="0.3">
      <c r="A16" s="440"/>
      <c r="B16" s="436"/>
      <c r="C16" s="50"/>
      <c r="D16" s="146" t="s">
        <v>152</v>
      </c>
      <c r="E16" s="147" t="s">
        <v>101</v>
      </c>
      <c r="F16" s="147" t="s">
        <v>153</v>
      </c>
      <c r="G16" s="211" t="s">
        <v>154</v>
      </c>
      <c r="H16" s="205"/>
      <c r="I16" s="424" t="s">
        <v>124</v>
      </c>
      <c r="J16" s="425"/>
      <c r="K16" s="426"/>
      <c r="M16" s="303"/>
      <c r="N16" s="303"/>
      <c r="O16" s="303"/>
      <c r="P16" s="303"/>
      <c r="Q16" s="303"/>
      <c r="R16" s="303"/>
      <c r="S16" s="303"/>
      <c r="T16" s="303"/>
    </row>
    <row r="17" spans="1:20" s="1" customFormat="1" ht="15" customHeight="1" thickBot="1" x14ac:dyDescent="0.3">
      <c r="A17" s="60"/>
      <c r="B17" s="60"/>
      <c r="C17" s="50"/>
      <c r="D17" s="50"/>
      <c r="E17" s="50"/>
      <c r="F17" s="50"/>
      <c r="H17" s="206"/>
      <c r="M17" s="304"/>
      <c r="N17" s="304"/>
      <c r="O17" s="304"/>
      <c r="P17" s="304"/>
      <c r="Q17" s="304"/>
      <c r="R17" s="304"/>
      <c r="S17" s="304"/>
      <c r="T17" s="304"/>
    </row>
    <row r="18" spans="1:20" ht="16.5" customHeight="1" thickBot="1" x14ac:dyDescent="0.35">
      <c r="A18" s="63" t="s">
        <v>95</v>
      </c>
      <c r="B18" s="64"/>
      <c r="C18" s="42"/>
      <c r="D18" s="148" t="s">
        <v>155</v>
      </c>
      <c r="E18" s="149"/>
      <c r="F18" s="285">
        <f>Leistungsumfang!F9</f>
        <v>1</v>
      </c>
      <c r="G18" s="157"/>
      <c r="H18" s="207"/>
      <c r="I18" s="214"/>
      <c r="J18" s="283">
        <f>SUM(Personaleinsatzplan!F19:F19)</f>
        <v>25.186499999999999</v>
      </c>
      <c r="K18" s="215" t="s">
        <v>170</v>
      </c>
      <c r="M18" s="305"/>
      <c r="N18" s="305"/>
      <c r="O18" s="305"/>
      <c r="P18" s="305"/>
      <c r="Q18" s="305"/>
      <c r="R18" s="305"/>
      <c r="S18" s="305"/>
      <c r="T18" s="305"/>
    </row>
    <row r="19" spans="1:20" s="1" customFormat="1" ht="8.25" customHeight="1" x14ac:dyDescent="0.25">
      <c r="A19" s="50"/>
      <c r="B19" s="60"/>
      <c r="C19" s="50"/>
      <c r="D19" s="198"/>
      <c r="E19" s="50"/>
      <c r="F19" s="50"/>
      <c r="H19" s="206"/>
      <c r="M19" s="304"/>
      <c r="N19" s="304"/>
      <c r="O19" s="304"/>
      <c r="P19" s="304"/>
      <c r="Q19" s="304"/>
      <c r="R19" s="304"/>
      <c r="S19" s="304"/>
      <c r="T19" s="304"/>
    </row>
    <row r="20" spans="1:20" s="1" customFormat="1" ht="15" customHeight="1" x14ac:dyDescent="0.25">
      <c r="A20" s="54" t="s">
        <v>246</v>
      </c>
      <c r="B20" s="51" t="s">
        <v>245</v>
      </c>
      <c r="C20" s="50"/>
      <c r="D20" s="199">
        <f>IFERROR(G20/F18,0)</f>
        <v>24</v>
      </c>
      <c r="E20" s="150">
        <f>G20/$G$22</f>
        <v>1</v>
      </c>
      <c r="F20" s="286"/>
      <c r="G20" s="284">
        <f>Honorarberechnung!H19</f>
        <v>24</v>
      </c>
      <c r="H20" s="202"/>
      <c r="I20" s="422" t="str">
        <f>IF(OR(G22-J18&gt;1,G22-J18&lt;-1),"Abweichung zwischen h aus PEP und h aus der Honorar-ermittlung beträgt:","")</f>
        <v>Abweichung zwischen h aus PEP und h aus der Honorar-ermittlung beträgt:</v>
      </c>
      <c r="J20" s="422"/>
      <c r="K20" s="422"/>
      <c r="M20" s="304"/>
      <c r="N20" s="304"/>
      <c r="O20" s="304"/>
      <c r="P20" s="304"/>
      <c r="Q20" s="304"/>
      <c r="R20" s="304"/>
      <c r="S20" s="304"/>
      <c r="T20" s="304"/>
    </row>
    <row r="21" spans="1:20" s="1" customFormat="1" ht="14.25" hidden="1" customHeight="1" x14ac:dyDescent="0.25">
      <c r="A21" s="57"/>
      <c r="B21" s="55" t="s">
        <v>74</v>
      </c>
      <c r="C21" s="50"/>
      <c r="D21" s="199">
        <v>0</v>
      </c>
      <c r="E21" s="150">
        <f>G21/$G$22</f>
        <v>0</v>
      </c>
      <c r="F21" s="286">
        <v>0</v>
      </c>
      <c r="G21" s="284">
        <f>Honorarberechnung!H23</f>
        <v>0</v>
      </c>
      <c r="H21" s="202"/>
      <c r="I21" s="422"/>
      <c r="J21" s="422"/>
      <c r="K21" s="422"/>
      <c r="M21" s="304"/>
      <c r="N21" s="304"/>
      <c r="O21" s="304"/>
      <c r="P21" s="304"/>
      <c r="Q21" s="304"/>
      <c r="R21" s="304"/>
      <c r="S21" s="304"/>
      <c r="T21" s="304"/>
    </row>
    <row r="22" spans="1:20" s="1" customFormat="1" ht="18" customHeight="1" x14ac:dyDescent="0.25">
      <c r="A22" s="152"/>
      <c r="B22" s="153" t="s">
        <v>156</v>
      </c>
      <c r="C22" s="65"/>
      <c r="E22" s="278">
        <f>SUM(E20:E21)</f>
        <v>1</v>
      </c>
      <c r="F22" s="154"/>
      <c r="G22" s="200">
        <f>SUM(G20:G21)</f>
        <v>24</v>
      </c>
      <c r="H22" s="200"/>
      <c r="I22" s="422"/>
      <c r="J22" s="422"/>
      <c r="K22" s="422"/>
      <c r="M22" s="304"/>
      <c r="N22" s="304"/>
      <c r="O22" s="304"/>
      <c r="P22" s="304"/>
      <c r="Q22" s="304"/>
      <c r="R22" s="304"/>
      <c r="S22" s="304"/>
      <c r="T22" s="304"/>
    </row>
    <row r="23" spans="1:20" s="1" customFormat="1" ht="18" customHeight="1" x14ac:dyDescent="0.25">
      <c r="A23" s="152"/>
      <c r="B23" s="153"/>
      <c r="C23" s="65"/>
      <c r="E23" s="155"/>
      <c r="F23" s="154"/>
      <c r="G23" s="200"/>
      <c r="H23" s="200"/>
      <c r="I23" s="212"/>
      <c r="J23" s="212"/>
      <c r="K23" s="277">
        <f>ABS(J18/G22-1)</f>
        <v>4.9437500000000023E-2</v>
      </c>
      <c r="M23" s="304"/>
      <c r="N23" s="304"/>
      <c r="O23" s="304"/>
      <c r="P23" s="304"/>
      <c r="Q23" s="304"/>
      <c r="R23" s="304"/>
      <c r="S23" s="304"/>
      <c r="T23" s="304"/>
    </row>
    <row r="24" spans="1:20" s="1" customFormat="1" ht="10.5" customHeight="1" x14ac:dyDescent="0.25">
      <c r="A24" s="152"/>
      <c r="B24" s="153"/>
      <c r="C24" s="65"/>
      <c r="E24" s="155"/>
      <c r="F24" s="154"/>
      <c r="G24" s="200"/>
      <c r="H24" s="200"/>
      <c r="I24" s="201"/>
      <c r="J24" s="201"/>
      <c r="K24" s="201"/>
      <c r="M24" s="304"/>
      <c r="N24" s="304"/>
      <c r="O24" s="304"/>
      <c r="P24" s="304"/>
      <c r="Q24" s="304"/>
      <c r="R24" s="304"/>
      <c r="S24" s="304"/>
      <c r="T24" s="304"/>
    </row>
    <row r="25" spans="1:20" s="1" customFormat="1" ht="18" customHeight="1" x14ac:dyDescent="0.25">
      <c r="A25" s="152"/>
      <c r="B25" s="153" t="s">
        <v>176</v>
      </c>
      <c r="C25" s="65"/>
      <c r="E25" s="155"/>
      <c r="F25" s="154"/>
      <c r="G25" s="281">
        <f>G22*Honorarberechnung!D7</f>
        <v>2392.1807898240004</v>
      </c>
      <c r="H25" s="200"/>
      <c r="I25" s="201"/>
      <c r="J25" s="201"/>
      <c r="K25" s="279">
        <f>SUM(Personaleinsatzplan!F11:F11,Personaleinsatzplan!F14:F14,Personaleinsatzplan!F17:F17)</f>
        <v>2396.9598455527198</v>
      </c>
      <c r="M25" s="304"/>
      <c r="N25" s="304"/>
      <c r="O25" s="304"/>
      <c r="P25" s="304"/>
      <c r="Q25" s="304"/>
      <c r="R25" s="304"/>
      <c r="S25" s="304"/>
      <c r="T25" s="304"/>
    </row>
    <row r="26" spans="1:20" ht="15.6" thickBot="1" x14ac:dyDescent="0.3">
      <c r="A26" s="50"/>
      <c r="B26" s="50"/>
      <c r="C26" s="50"/>
      <c r="D26" s="198"/>
      <c r="E26" s="50"/>
      <c r="F26" s="50"/>
      <c r="G26" s="1"/>
      <c r="H26" s="206"/>
      <c r="I26" s="1"/>
      <c r="J26" s="1"/>
      <c r="K26" s="1"/>
      <c r="M26" s="305"/>
      <c r="N26" s="305"/>
      <c r="O26" s="305"/>
      <c r="P26" s="305"/>
      <c r="Q26" s="305"/>
      <c r="R26" s="305"/>
      <c r="S26" s="305"/>
      <c r="T26" s="305"/>
    </row>
    <row r="27" spans="1:20" ht="16.5" customHeight="1" thickBot="1" x14ac:dyDescent="0.35">
      <c r="A27" s="63" t="s">
        <v>96</v>
      </c>
      <c r="B27" s="64"/>
      <c r="C27" s="42"/>
      <c r="D27" s="148" t="s">
        <v>155</v>
      </c>
      <c r="E27" s="149"/>
      <c r="F27" s="285">
        <f>Leistungsumfang!F14</f>
        <v>3</v>
      </c>
      <c r="G27" s="157"/>
      <c r="H27" s="207"/>
      <c r="I27" s="214"/>
      <c r="J27" s="283">
        <f>SUM(Personaleinsatzplan!G19:I19)</f>
        <v>370.80124999999998</v>
      </c>
      <c r="K27" s="215" t="s">
        <v>170</v>
      </c>
      <c r="M27" s="305"/>
      <c r="N27" s="305"/>
      <c r="O27" s="305"/>
      <c r="P27" s="305"/>
      <c r="Q27" s="305"/>
      <c r="R27" s="305"/>
      <c r="S27" s="305"/>
      <c r="T27" s="305"/>
    </row>
    <row r="28" spans="1:20" s="1" customFormat="1" ht="8.25" customHeight="1" x14ac:dyDescent="0.25">
      <c r="A28" s="50"/>
      <c r="B28" s="60"/>
      <c r="C28" s="50"/>
      <c r="D28" s="198"/>
      <c r="E28" s="50"/>
      <c r="F28" s="50"/>
      <c r="H28" s="206"/>
      <c r="M28" s="304"/>
      <c r="N28" s="304"/>
      <c r="O28" s="304"/>
      <c r="P28" s="304"/>
      <c r="Q28" s="304"/>
      <c r="R28" s="304"/>
      <c r="S28" s="304"/>
      <c r="T28" s="304"/>
    </row>
    <row r="29" spans="1:20" s="1" customFormat="1" ht="15" customHeight="1" x14ac:dyDescent="0.25">
      <c r="A29" s="54" t="s">
        <v>247</v>
      </c>
      <c r="B29" s="51" t="s">
        <v>262</v>
      </c>
      <c r="C29" s="50"/>
      <c r="D29" s="199">
        <f>IFERROR(G29/F27,0)</f>
        <v>22.338311111111114</v>
      </c>
      <c r="E29" s="150">
        <f>G29/$G$33</f>
        <v>0.1818181818181818</v>
      </c>
      <c r="F29" s="286"/>
      <c r="G29" s="284">
        <f>Honorarberechnung!H33</f>
        <v>67.014933333333346</v>
      </c>
      <c r="H29" s="202"/>
      <c r="I29" s="422" t="str">
        <f>IF(OR(G33-J27&gt;1,G33-J27&lt;-1),"Abweichung zwischen h aus PEP und h aus der Honorar-ermittlung beträgt:","")</f>
        <v>Abweichung zwischen h aus PEP und h aus der Honorar-ermittlung beträgt:</v>
      </c>
      <c r="J29" s="422"/>
      <c r="K29" s="422"/>
      <c r="M29" s="304"/>
      <c r="N29" s="304"/>
      <c r="O29" s="304"/>
      <c r="P29" s="304"/>
      <c r="Q29" s="304"/>
      <c r="R29" s="304"/>
      <c r="S29" s="304"/>
      <c r="T29" s="304"/>
    </row>
    <row r="30" spans="1:20" s="1" customFormat="1" ht="13.8" x14ac:dyDescent="0.25">
      <c r="A30" s="54" t="s">
        <v>248</v>
      </c>
      <c r="B30" s="51" t="s">
        <v>263</v>
      </c>
      <c r="C30" s="50"/>
      <c r="D30" s="199">
        <f>IFERROR(G30/F27,0)</f>
        <v>44.676622222222228</v>
      </c>
      <c r="E30" s="150">
        <f>G30/$G$33</f>
        <v>0.36363636363636359</v>
      </c>
      <c r="F30" s="286"/>
      <c r="G30" s="284">
        <f>Honorarberechnung!H34</f>
        <v>134.02986666666669</v>
      </c>
      <c r="H30" s="202"/>
      <c r="I30" s="422"/>
      <c r="J30" s="422"/>
      <c r="K30" s="422"/>
      <c r="M30" s="304"/>
      <c r="N30" s="304"/>
      <c r="O30" s="304"/>
      <c r="P30" s="304"/>
      <c r="Q30" s="304"/>
      <c r="R30" s="304"/>
      <c r="S30" s="304"/>
      <c r="T30" s="304"/>
    </row>
    <row r="31" spans="1:20" s="1" customFormat="1" ht="13.8" x14ac:dyDescent="0.25">
      <c r="A31" s="54" t="s">
        <v>249</v>
      </c>
      <c r="B31" s="51" t="s">
        <v>250</v>
      </c>
      <c r="C31" s="50"/>
      <c r="D31" s="199">
        <f>IFERROR(G31/F27,0)</f>
        <v>55.845777777777791</v>
      </c>
      <c r="E31" s="150">
        <f>G31/$G$33</f>
        <v>0.45454545454545453</v>
      </c>
      <c r="F31" s="286"/>
      <c r="G31" s="284">
        <f>Honorarberechnung!H35</f>
        <v>167.53733333333338</v>
      </c>
      <c r="H31" s="202"/>
      <c r="I31" s="422"/>
      <c r="J31" s="422"/>
      <c r="K31" s="422"/>
      <c r="M31" s="304"/>
      <c r="N31" s="304"/>
      <c r="O31" s="304"/>
      <c r="P31" s="304"/>
      <c r="Q31" s="304"/>
      <c r="R31" s="304"/>
      <c r="S31" s="304"/>
      <c r="T31" s="304"/>
    </row>
    <row r="32" spans="1:20" s="1" customFormat="1" ht="14.25" hidden="1" customHeight="1" x14ac:dyDescent="0.25">
      <c r="A32" s="57"/>
      <c r="B32" s="55" t="s">
        <v>74</v>
      </c>
      <c r="C32" s="50"/>
      <c r="D32" s="199">
        <f>IFERROR(G32/F27,0)</f>
        <v>0</v>
      </c>
      <c r="E32" s="150">
        <f>G32/$G$33</f>
        <v>0</v>
      </c>
      <c r="F32" s="286">
        <v>0</v>
      </c>
      <c r="G32" s="284">
        <f>Honorarberechnung!H24</f>
        <v>0</v>
      </c>
      <c r="H32" s="202"/>
      <c r="I32" s="212"/>
      <c r="J32" s="212"/>
      <c r="M32" s="304"/>
      <c r="N32" s="304"/>
      <c r="O32" s="304"/>
      <c r="P32" s="304"/>
      <c r="Q32" s="304"/>
      <c r="R32" s="304"/>
      <c r="S32" s="304"/>
      <c r="T32" s="304"/>
    </row>
    <row r="33" spans="1:20" s="1" customFormat="1" ht="15" customHeight="1" x14ac:dyDescent="0.25">
      <c r="A33" s="152"/>
      <c r="B33" s="153" t="s">
        <v>156</v>
      </c>
      <c r="C33" s="65"/>
      <c r="E33" s="278">
        <f>SUM(E29:E32)</f>
        <v>1</v>
      </c>
      <c r="F33" s="154"/>
      <c r="G33" s="200">
        <f>SUM(G29:G32)</f>
        <v>368.58213333333345</v>
      </c>
      <c r="H33" s="200"/>
      <c r="K33" s="277">
        <f>ABS(J27/G33-1)</f>
        <v>6.0206843088068673E-3</v>
      </c>
      <c r="M33" s="304"/>
      <c r="N33" s="304"/>
      <c r="O33" s="304"/>
      <c r="P33" s="304"/>
      <c r="Q33" s="304"/>
      <c r="R33" s="304"/>
      <c r="S33" s="304"/>
      <c r="T33" s="304"/>
    </row>
    <row r="34" spans="1:20" s="1" customFormat="1" ht="10.5" customHeight="1" x14ac:dyDescent="0.25">
      <c r="A34" s="152"/>
      <c r="B34" s="153"/>
      <c r="C34" s="65"/>
      <c r="E34" s="155"/>
      <c r="F34" s="154"/>
      <c r="G34" s="200"/>
      <c r="H34" s="200"/>
      <c r="I34" s="201"/>
      <c r="J34" s="201"/>
      <c r="K34" s="201"/>
      <c r="M34" s="304"/>
      <c r="N34" s="304"/>
      <c r="O34" s="304"/>
      <c r="P34" s="304"/>
      <c r="Q34" s="304"/>
      <c r="R34" s="304"/>
      <c r="S34" s="304"/>
      <c r="T34" s="304"/>
    </row>
    <row r="35" spans="1:20" s="1" customFormat="1" ht="18" customHeight="1" x14ac:dyDescent="0.25">
      <c r="A35" s="152"/>
      <c r="B35" s="153" t="s">
        <v>177</v>
      </c>
      <c r="C35" s="65"/>
      <c r="E35" s="155"/>
      <c r="F35" s="154"/>
      <c r="G35" s="281">
        <f>G33*Honorarberechnung!D7</f>
        <v>36738.12911801452</v>
      </c>
      <c r="H35" s="200"/>
      <c r="I35" s="201"/>
      <c r="J35" s="201"/>
      <c r="K35" s="279">
        <f>SUM(Personaleinsatzplan!G11:I11,Personaleinsatzplan!G14:I14,Personaleinsatzplan!G17:I17)</f>
        <v>36113.487938526596</v>
      </c>
      <c r="M35" s="304"/>
      <c r="N35" s="304"/>
      <c r="O35" s="304"/>
      <c r="P35" s="304"/>
      <c r="Q35" s="304"/>
      <c r="R35" s="304"/>
      <c r="S35" s="304"/>
      <c r="T35" s="304"/>
    </row>
    <row r="36" spans="1:20" ht="15.6" thickBot="1" x14ac:dyDescent="0.3">
      <c r="A36" s="50"/>
      <c r="B36" s="50"/>
      <c r="C36" s="50"/>
      <c r="D36" s="198"/>
      <c r="E36" s="50"/>
      <c r="F36" s="50"/>
      <c r="G36" s="1"/>
      <c r="H36" s="206"/>
      <c r="I36" s="1"/>
      <c r="J36" s="1"/>
      <c r="K36" s="1"/>
      <c r="M36" s="305"/>
      <c r="N36" s="305"/>
      <c r="O36" s="305"/>
      <c r="P36" s="305"/>
      <c r="Q36" s="305"/>
      <c r="R36" s="305"/>
      <c r="S36" s="305"/>
      <c r="T36" s="305"/>
    </row>
    <row r="37" spans="1:20" ht="16.5" customHeight="1" thickBot="1" x14ac:dyDescent="0.35">
      <c r="A37" s="63" t="s">
        <v>82</v>
      </c>
      <c r="B37" s="64"/>
      <c r="C37" s="42"/>
      <c r="D37" s="148" t="s">
        <v>155</v>
      </c>
      <c r="E37" s="149"/>
      <c r="F37" s="285">
        <f>Leistungsumfang!F21</f>
        <v>4</v>
      </c>
      <c r="G37" s="157"/>
      <c r="H37" s="207"/>
      <c r="I37" s="214"/>
      <c r="J37" s="283">
        <f>SUM(Personaleinsatzplan!J19:M19)</f>
        <v>293.84249999999992</v>
      </c>
      <c r="K37" s="215" t="s">
        <v>170</v>
      </c>
      <c r="M37" s="305"/>
      <c r="N37" s="305"/>
      <c r="O37" s="305"/>
      <c r="P37" s="305"/>
      <c r="Q37" s="305"/>
      <c r="R37" s="305"/>
      <c r="S37" s="305"/>
      <c r="T37" s="305"/>
    </row>
    <row r="38" spans="1:20" s="1" customFormat="1" ht="8.25" customHeight="1" x14ac:dyDescent="0.25">
      <c r="A38" s="50"/>
      <c r="B38" s="60"/>
      <c r="C38" s="50"/>
      <c r="D38" s="198"/>
      <c r="E38" s="50"/>
      <c r="F38" s="50"/>
      <c r="H38" s="206"/>
      <c r="M38" s="304"/>
      <c r="N38" s="304"/>
      <c r="O38" s="304"/>
      <c r="P38" s="304"/>
      <c r="Q38" s="304"/>
      <c r="R38" s="304"/>
      <c r="S38" s="304"/>
      <c r="T38" s="304"/>
    </row>
    <row r="39" spans="1:20" s="1" customFormat="1" ht="15" customHeight="1" x14ac:dyDescent="0.25">
      <c r="A39" s="54" t="s">
        <v>264</v>
      </c>
      <c r="B39" s="51" t="s">
        <v>252</v>
      </c>
      <c r="C39" s="50"/>
      <c r="D39" s="199">
        <f>IFERROR(G39/F37,0)</f>
        <v>67.014933333333346</v>
      </c>
      <c r="E39" s="150">
        <f>G39/$G$43</f>
        <v>0.91428571428571426</v>
      </c>
      <c r="F39" s="286"/>
      <c r="G39" s="284">
        <f>Honorarberechnung!H36</f>
        <v>268.05973333333338</v>
      </c>
      <c r="H39" s="202"/>
      <c r="I39" s="422" t="str">
        <f>IF(OR(G43-J37&gt;1,G43-J37&lt;-1),"Abweichung zwischen h aus PEP und h aus der Honorar-ermittlung beträgt:","")</f>
        <v/>
      </c>
      <c r="J39" s="422"/>
      <c r="K39" s="422"/>
      <c r="M39" s="304"/>
      <c r="N39" s="304"/>
      <c r="O39" s="304"/>
      <c r="P39" s="304"/>
      <c r="Q39" s="304"/>
      <c r="R39" s="304"/>
      <c r="S39" s="304"/>
      <c r="T39" s="304"/>
    </row>
    <row r="40" spans="1:20" s="1" customFormat="1" ht="13.8" x14ac:dyDescent="0.25">
      <c r="A40" s="54" t="s">
        <v>254</v>
      </c>
      <c r="B40" s="51" t="s">
        <v>253</v>
      </c>
      <c r="C40" s="50"/>
      <c r="D40" s="199">
        <f>IFERROR(G40/F37,0)</f>
        <v>6.2826500000000012</v>
      </c>
      <c r="E40" s="150">
        <f>G40/$G$43</f>
        <v>8.5714285714285715E-2</v>
      </c>
      <c r="F40" s="286"/>
      <c r="G40" s="284">
        <f>Honorarberechnung!H37</f>
        <v>25.130600000000005</v>
      </c>
      <c r="H40" s="202"/>
      <c r="I40" s="422"/>
      <c r="J40" s="422"/>
      <c r="K40" s="422"/>
      <c r="M40" s="304"/>
      <c r="N40" s="304"/>
      <c r="O40" s="304"/>
      <c r="P40" s="304"/>
      <c r="Q40" s="304"/>
      <c r="R40" s="304"/>
      <c r="S40" s="304"/>
      <c r="T40" s="304"/>
    </row>
    <row r="41" spans="1:20" s="1" customFormat="1" ht="15.75" customHeight="1" x14ac:dyDescent="0.25">
      <c r="A41" s="54" t="s">
        <v>255</v>
      </c>
      <c r="B41" s="51" t="s">
        <v>213</v>
      </c>
      <c r="C41" s="50"/>
      <c r="D41" s="199">
        <f>IFERROR(G41/F37,0)</f>
        <v>0</v>
      </c>
      <c r="E41" s="150">
        <f>G41/$G$43</f>
        <v>0</v>
      </c>
      <c r="F41" s="286"/>
      <c r="G41" s="284">
        <f>Honorarberechnung!H20</f>
        <v>0</v>
      </c>
      <c r="H41" s="202"/>
      <c r="I41" s="422"/>
      <c r="J41" s="422"/>
      <c r="K41" s="422"/>
      <c r="M41" s="304"/>
      <c r="N41" s="304"/>
      <c r="O41" s="304"/>
      <c r="P41" s="304"/>
      <c r="Q41" s="304"/>
      <c r="R41" s="304"/>
      <c r="S41" s="304"/>
      <c r="T41" s="304"/>
    </row>
    <row r="42" spans="1:20" s="1" customFormat="1" ht="14.25" hidden="1" customHeight="1" x14ac:dyDescent="0.25">
      <c r="A42" s="57"/>
      <c r="B42" s="55" t="s">
        <v>74</v>
      </c>
      <c r="C42" s="50"/>
      <c r="D42" s="199">
        <f>IFERROR(G42/F37,0)</f>
        <v>0</v>
      </c>
      <c r="E42" s="150">
        <f>G42/$G$43</f>
        <v>0</v>
      </c>
      <c r="F42" s="286">
        <v>0</v>
      </c>
      <c r="G42" s="284">
        <f>Honorarberechnung!H25</f>
        <v>0</v>
      </c>
      <c r="H42" s="202"/>
      <c r="I42" s="212"/>
      <c r="J42" s="212"/>
      <c r="M42" s="304"/>
      <c r="N42" s="304"/>
      <c r="O42" s="304"/>
      <c r="P42" s="304"/>
      <c r="Q42" s="304"/>
      <c r="R42" s="304"/>
      <c r="S42" s="304"/>
      <c r="T42" s="304"/>
    </row>
    <row r="43" spans="1:20" s="1" customFormat="1" ht="15" customHeight="1" x14ac:dyDescent="0.25">
      <c r="A43" s="152"/>
      <c r="B43" s="153" t="s">
        <v>156</v>
      </c>
      <c r="C43" s="65"/>
      <c r="E43" s="278">
        <f>SUM(E39:E42)</f>
        <v>1</v>
      </c>
      <c r="F43" s="154"/>
      <c r="G43" s="200">
        <f>SUM(G39:G42)</f>
        <v>293.1903333333334</v>
      </c>
      <c r="H43" s="200"/>
      <c r="I43" s="212"/>
      <c r="J43" s="212"/>
      <c r="K43" s="277">
        <f>ABS(J37/G43-1)</f>
        <v>2.2243798397167946E-3</v>
      </c>
      <c r="M43" s="304"/>
      <c r="N43" s="304"/>
      <c r="O43" s="304"/>
      <c r="P43" s="304"/>
      <c r="Q43" s="304"/>
      <c r="R43" s="304"/>
      <c r="S43" s="304"/>
      <c r="T43" s="304"/>
    </row>
    <row r="44" spans="1:20" s="1" customFormat="1" ht="10.5" customHeight="1" x14ac:dyDescent="0.25">
      <c r="A44" s="152"/>
      <c r="B44" s="153"/>
      <c r="C44" s="65"/>
      <c r="E44" s="155"/>
      <c r="F44" s="154"/>
      <c r="G44" s="200"/>
      <c r="H44" s="200"/>
      <c r="I44" s="201"/>
      <c r="J44" s="201"/>
      <c r="K44" s="201"/>
      <c r="M44" s="304"/>
      <c r="N44" s="304"/>
      <c r="O44" s="304"/>
      <c r="P44" s="304"/>
      <c r="Q44" s="304"/>
      <c r="R44" s="304"/>
      <c r="S44" s="304"/>
      <c r="T44" s="304"/>
    </row>
    <row r="45" spans="1:20" s="1" customFormat="1" ht="18" customHeight="1" x14ac:dyDescent="0.25">
      <c r="A45" s="152"/>
      <c r="B45" s="153" t="s">
        <v>178</v>
      </c>
      <c r="C45" s="65"/>
      <c r="E45" s="155"/>
      <c r="F45" s="154"/>
      <c r="G45" s="281">
        <f>G43*Honorarberechnung!D7</f>
        <v>29223.511798420641</v>
      </c>
      <c r="H45" s="200"/>
      <c r="I45" s="201"/>
      <c r="J45" s="201"/>
      <c r="K45" s="279">
        <f>SUM(Personaleinsatzplan!J11:M11,Personaleinsatzplan!J14:M14,Personaleinsatzplan!J17:M17)</f>
        <v>29246.091920847903</v>
      </c>
      <c r="M45" s="304"/>
      <c r="N45" s="304"/>
      <c r="O45" s="304"/>
      <c r="P45" s="304"/>
      <c r="Q45" s="304"/>
      <c r="R45" s="304"/>
      <c r="S45" s="304"/>
      <c r="T45" s="304"/>
    </row>
    <row r="46" spans="1:20" ht="15.6" thickBot="1" x14ac:dyDescent="0.3">
      <c r="A46" s="50"/>
      <c r="B46" s="50"/>
      <c r="C46" s="50"/>
      <c r="D46" s="198"/>
      <c r="E46" s="50"/>
      <c r="F46" s="50"/>
      <c r="G46" s="1"/>
      <c r="H46" s="206"/>
      <c r="I46" s="1"/>
      <c r="J46" s="1"/>
      <c r="K46" s="1"/>
      <c r="M46" s="305"/>
      <c r="N46" s="305"/>
      <c r="O46" s="305"/>
      <c r="P46" s="305"/>
      <c r="Q46" s="305"/>
      <c r="R46" s="305"/>
      <c r="S46" s="305"/>
      <c r="T46" s="305"/>
    </row>
    <row r="47" spans="1:20" s="1" customFormat="1" ht="16.2" thickBot="1" x14ac:dyDescent="0.35">
      <c r="A47" s="63" t="s">
        <v>83</v>
      </c>
      <c r="B47" s="156"/>
      <c r="C47" s="42"/>
      <c r="D47" s="148" t="s">
        <v>155</v>
      </c>
      <c r="E47" s="149"/>
      <c r="F47" s="285">
        <f>Leistungsumfang!F27</f>
        <v>8</v>
      </c>
      <c r="G47" s="157"/>
      <c r="H47" s="207"/>
      <c r="I47" s="214"/>
      <c r="J47" s="283">
        <f>SUM(Personaleinsatzplan!N19:T19)</f>
        <v>61.566999999999993</v>
      </c>
      <c r="K47" s="215" t="s">
        <v>170</v>
      </c>
      <c r="M47" s="304"/>
      <c r="N47" s="304"/>
      <c r="O47" s="304"/>
      <c r="P47" s="304"/>
      <c r="Q47" s="304"/>
      <c r="R47" s="304"/>
      <c r="S47" s="304"/>
      <c r="T47" s="304"/>
    </row>
    <row r="48" spans="1:20" s="1" customFormat="1" ht="14.25" customHeight="1" x14ac:dyDescent="0.25">
      <c r="A48" s="50"/>
      <c r="B48" s="50"/>
      <c r="C48" s="50"/>
      <c r="D48" s="198"/>
      <c r="E48" s="50"/>
      <c r="F48" s="50"/>
      <c r="H48" s="206"/>
      <c r="M48" s="304"/>
      <c r="N48" s="304"/>
      <c r="O48" s="304"/>
      <c r="P48" s="304"/>
      <c r="Q48" s="304"/>
      <c r="R48" s="304"/>
      <c r="S48" s="304"/>
      <c r="T48" s="304"/>
    </row>
    <row r="49" spans="1:20" s="1" customFormat="1" ht="13.8" x14ac:dyDescent="0.25">
      <c r="A49" s="56" t="s">
        <v>257</v>
      </c>
      <c r="B49" s="151" t="s">
        <v>256</v>
      </c>
      <c r="C49" s="50"/>
      <c r="D49" s="199">
        <f>IFERROR(G49/F47,0)</f>
        <v>7.3297583333333343</v>
      </c>
      <c r="E49" s="150">
        <f>G49/$G$51</f>
        <v>1</v>
      </c>
      <c r="F49" s="286"/>
      <c r="G49" s="284">
        <f>Honorarberechnung!H43</f>
        <v>58.638066666666674</v>
      </c>
      <c r="H49" s="202"/>
      <c r="I49" s="422" t="str">
        <f>IF(OR(G51-J47&gt;1,G51-J47&lt;-1),"Abweichung zwischen h aus PEP und h aus der Honorar-ermittlung beträgt:","")</f>
        <v>Abweichung zwischen h aus PEP und h aus der Honorar-ermittlung beträgt:</v>
      </c>
      <c r="J49" s="422"/>
      <c r="K49" s="422"/>
      <c r="M49" s="306"/>
      <c r="N49" s="304"/>
      <c r="O49" s="304"/>
      <c r="P49" s="304"/>
      <c r="Q49" s="304"/>
      <c r="R49" s="304"/>
      <c r="S49" s="304"/>
      <c r="T49" s="304"/>
    </row>
    <row r="50" spans="1:20" s="1" customFormat="1" ht="13.8" x14ac:dyDescent="0.25">
      <c r="A50" s="56" t="s">
        <v>259</v>
      </c>
      <c r="B50" s="151" t="s">
        <v>258</v>
      </c>
      <c r="C50" s="50"/>
      <c r="D50" s="199">
        <v>0</v>
      </c>
      <c r="E50" s="150">
        <f>G50/$G$51</f>
        <v>0</v>
      </c>
      <c r="F50" s="286"/>
      <c r="G50" s="284">
        <f>Honorarberechnung!H26</f>
        <v>0</v>
      </c>
      <c r="H50" s="202"/>
      <c r="I50" s="212"/>
      <c r="J50" s="212"/>
      <c r="M50" s="304"/>
      <c r="N50" s="304"/>
      <c r="O50" s="304"/>
      <c r="P50" s="304"/>
      <c r="Q50" s="304"/>
      <c r="R50" s="304"/>
      <c r="S50" s="304"/>
      <c r="T50" s="304"/>
    </row>
    <row r="51" spans="1:20" s="1" customFormat="1" ht="14.4" x14ac:dyDescent="0.25">
      <c r="A51" s="152"/>
      <c r="B51" s="153" t="s">
        <v>156</v>
      </c>
      <c r="C51" s="65"/>
      <c r="E51" s="278">
        <f>SUM(E49:E50)</f>
        <v>1</v>
      </c>
      <c r="F51" s="154"/>
      <c r="G51" s="200">
        <f>SUM(G48:G50)</f>
        <v>58.638066666666674</v>
      </c>
      <c r="H51" s="200"/>
      <c r="K51" s="277">
        <f>ABS(J47/G51-1)</f>
        <v>4.9949350308275076E-2</v>
      </c>
      <c r="M51" s="304"/>
      <c r="N51" s="304"/>
      <c r="O51" s="304"/>
      <c r="P51" s="304"/>
      <c r="Q51" s="304"/>
      <c r="R51" s="304"/>
      <c r="S51" s="304"/>
      <c r="T51" s="304"/>
    </row>
    <row r="52" spans="1:20" s="1" customFormat="1" ht="10.5" customHeight="1" x14ac:dyDescent="0.25">
      <c r="A52" s="152"/>
      <c r="B52" s="153"/>
      <c r="C52" s="65"/>
      <c r="E52" s="155"/>
      <c r="F52" s="154"/>
      <c r="G52" s="200"/>
      <c r="H52" s="200"/>
      <c r="I52" s="201"/>
      <c r="J52" s="201"/>
      <c r="K52" s="201"/>
      <c r="M52" s="304"/>
      <c r="N52" s="304"/>
      <c r="O52" s="304"/>
      <c r="P52" s="304"/>
      <c r="Q52" s="304"/>
      <c r="R52" s="304"/>
      <c r="S52" s="304"/>
      <c r="T52" s="304"/>
    </row>
    <row r="53" spans="1:20" s="1" customFormat="1" ht="18" customHeight="1" x14ac:dyDescent="0.25">
      <c r="A53" s="152"/>
      <c r="B53" s="153" t="s">
        <v>179</v>
      </c>
      <c r="C53" s="65"/>
      <c r="E53" s="155"/>
      <c r="F53" s="154"/>
      <c r="G53" s="281">
        <f>G51*Honorarberechnung!D7</f>
        <v>5844.7023596841273</v>
      </c>
      <c r="H53" s="200"/>
      <c r="I53" s="201"/>
      <c r="J53" s="201"/>
      <c r="K53" s="279">
        <f>SUM(Personaleinsatzplan!N11:U11,Personaleinsatzplan!N14:U14,Personaleinsatzplan!N17:U17)</f>
        <v>6655.2756773643014</v>
      </c>
      <c r="M53" s="304"/>
      <c r="N53" s="304"/>
      <c r="O53" s="304"/>
      <c r="P53" s="304"/>
      <c r="Q53" s="304"/>
      <c r="R53" s="304"/>
      <c r="S53" s="304"/>
      <c r="T53" s="304"/>
    </row>
    <row r="54" spans="1:20" s="1" customFormat="1" ht="14.4" thickBot="1" x14ac:dyDescent="0.3">
      <c r="A54" s="50"/>
      <c r="B54" s="50"/>
      <c r="C54" s="50"/>
      <c r="D54" s="198"/>
      <c r="E54" s="50"/>
      <c r="F54" s="50"/>
      <c r="H54" s="206"/>
      <c r="M54" s="304"/>
      <c r="N54" s="304"/>
      <c r="O54" s="304"/>
      <c r="P54" s="304"/>
      <c r="Q54" s="304"/>
      <c r="R54" s="304"/>
      <c r="S54" s="304"/>
      <c r="T54" s="304"/>
    </row>
    <row r="55" spans="1:20" s="84" customFormat="1" ht="16.2" thickBot="1" x14ac:dyDescent="0.35">
      <c r="A55" s="63" t="s">
        <v>157</v>
      </c>
      <c r="B55" s="87"/>
      <c r="C55" s="42"/>
      <c r="D55" s="148" t="s">
        <v>155</v>
      </c>
      <c r="E55" s="149"/>
      <c r="F55" s="285">
        <f>Leistungsumfang!F32</f>
        <v>0</v>
      </c>
      <c r="G55" s="157"/>
      <c r="H55" s="207"/>
      <c r="I55" s="214"/>
      <c r="J55" s="283">
        <f>SUM(Personaleinsatzplan!V19:V19)</f>
        <v>0</v>
      </c>
      <c r="K55" s="215" t="s">
        <v>170</v>
      </c>
      <c r="M55" s="307"/>
      <c r="N55" s="307"/>
      <c r="O55" s="307"/>
      <c r="P55" s="307"/>
      <c r="Q55" s="307"/>
      <c r="R55" s="307"/>
      <c r="S55" s="307"/>
      <c r="T55" s="307"/>
    </row>
    <row r="56" spans="1:20" s="84" customFormat="1" ht="15.75" customHeight="1" x14ac:dyDescent="0.25">
      <c r="A56" s="50"/>
      <c r="B56" s="50"/>
      <c r="C56" s="50"/>
      <c r="D56" s="198"/>
      <c r="E56" s="50"/>
      <c r="F56" s="50"/>
      <c r="G56" s="1"/>
      <c r="H56" s="206"/>
      <c r="I56" s="1"/>
      <c r="J56" s="1"/>
      <c r="K56" s="1"/>
      <c r="M56" s="307"/>
      <c r="N56" s="307"/>
      <c r="O56" s="307"/>
      <c r="P56" s="307"/>
      <c r="Q56" s="307"/>
      <c r="R56" s="307"/>
      <c r="S56" s="307"/>
      <c r="T56" s="307"/>
    </row>
    <row r="57" spans="1:20" ht="15" customHeight="1" x14ac:dyDescent="0.25">
      <c r="A57" s="57" t="s">
        <v>261</v>
      </c>
      <c r="B57" s="55" t="s">
        <v>260</v>
      </c>
      <c r="C57" s="50"/>
      <c r="D57" s="199">
        <f>IFERROR(G57/F55,0)</f>
        <v>0</v>
      </c>
      <c r="E57" s="150" t="e">
        <f>G57/$G$59</f>
        <v>#DIV/0!</v>
      </c>
      <c r="F57" s="286"/>
      <c r="G57" s="284">
        <f>Honorarberechnung!H21</f>
        <v>0</v>
      </c>
      <c r="H57" s="202"/>
      <c r="I57" s="422" t="str">
        <f>IF(OR(G59-J55&gt;1,G59-J55&lt;-1),"Abweichung zwischen h aus PEP und h aus der Honorar-ermittlung beträgt:","")</f>
        <v/>
      </c>
      <c r="J57" s="422"/>
      <c r="K57" s="422"/>
      <c r="M57" s="305"/>
      <c r="N57" s="305"/>
      <c r="O57" s="305"/>
      <c r="P57" s="305"/>
      <c r="Q57" s="305"/>
      <c r="R57" s="305"/>
      <c r="S57" s="305"/>
      <c r="T57" s="305"/>
    </row>
    <row r="58" spans="1:20" hidden="1" x14ac:dyDescent="0.25">
      <c r="A58" s="57"/>
      <c r="B58" s="55" t="s">
        <v>74</v>
      </c>
      <c r="C58" s="50"/>
      <c r="D58" s="199">
        <f>IFERROR(G58/F55,0)</f>
        <v>0</v>
      </c>
      <c r="E58" s="150" t="e">
        <f>G58/$G$59</f>
        <v>#DIV/0!</v>
      </c>
      <c r="F58" s="286"/>
      <c r="G58" s="284">
        <f>Honorarberechnung!H27</f>
        <v>0</v>
      </c>
      <c r="H58" s="202"/>
      <c r="I58" s="422"/>
      <c r="J58" s="422"/>
      <c r="K58" s="422"/>
      <c r="M58" s="304"/>
      <c r="N58" s="304"/>
      <c r="O58" s="305"/>
      <c r="P58" s="305"/>
      <c r="Q58" s="305"/>
      <c r="R58" s="305"/>
      <c r="S58" s="305"/>
      <c r="T58" s="305"/>
    </row>
    <row r="59" spans="1:20" x14ac:dyDescent="0.25">
      <c r="A59" s="158"/>
      <c r="B59" s="153" t="s">
        <v>156</v>
      </c>
      <c r="C59" s="65"/>
      <c r="E59" s="278" t="e">
        <f>SUM(E57:E58)</f>
        <v>#DIV/0!</v>
      </c>
      <c r="F59" s="154"/>
      <c r="G59" s="154">
        <f>SUM(G57:G58)</f>
        <v>0</v>
      </c>
      <c r="H59" s="200"/>
      <c r="I59" s="422"/>
      <c r="J59" s="422"/>
      <c r="K59" s="422"/>
      <c r="M59" s="305"/>
      <c r="N59" s="305"/>
      <c r="O59" s="305"/>
      <c r="P59" s="305"/>
      <c r="Q59" s="305"/>
      <c r="R59" s="305"/>
      <c r="S59" s="305"/>
      <c r="T59" s="305"/>
    </row>
    <row r="60" spans="1:20" x14ac:dyDescent="0.25">
      <c r="A60" s="158"/>
      <c r="B60" s="153"/>
      <c r="C60" s="65"/>
      <c r="E60" s="155"/>
      <c r="F60" s="154"/>
      <c r="G60" s="154"/>
      <c r="H60" s="200"/>
      <c r="I60" s="212"/>
      <c r="J60" s="212"/>
      <c r="K60" s="277" t="e">
        <f>ABS(J55/G59-1)</f>
        <v>#DIV/0!</v>
      </c>
      <c r="M60" s="305"/>
      <c r="N60" s="305"/>
      <c r="O60" s="305"/>
      <c r="P60" s="305"/>
      <c r="Q60" s="305"/>
      <c r="R60" s="305"/>
      <c r="S60" s="305"/>
      <c r="T60" s="305"/>
    </row>
    <row r="61" spans="1:20" s="1" customFormat="1" ht="10.5" customHeight="1" x14ac:dyDescent="0.25">
      <c r="A61" s="152"/>
      <c r="B61" s="153"/>
      <c r="C61" s="65"/>
      <c r="E61" s="155"/>
      <c r="F61" s="154"/>
      <c r="G61" s="200"/>
      <c r="H61" s="200"/>
      <c r="I61" s="212"/>
      <c r="J61" s="212"/>
      <c r="K61" s="212"/>
      <c r="M61" s="304"/>
      <c r="N61" s="304"/>
      <c r="O61" s="304"/>
      <c r="P61" s="304"/>
      <c r="Q61" s="304"/>
      <c r="R61" s="304"/>
      <c r="S61" s="304"/>
      <c r="T61" s="304"/>
    </row>
    <row r="62" spans="1:20" s="1" customFormat="1" ht="18" customHeight="1" x14ac:dyDescent="0.25">
      <c r="A62" s="152"/>
      <c r="B62" s="153" t="s">
        <v>180</v>
      </c>
      <c r="C62" s="65"/>
      <c r="E62" s="155"/>
      <c r="F62" s="154"/>
      <c r="G62" s="281">
        <f>G59*Honorarberechnung!D7</f>
        <v>0</v>
      </c>
      <c r="H62" s="200"/>
      <c r="I62" s="201"/>
      <c r="J62" s="201"/>
      <c r="K62" s="279">
        <f>SUM(Personaleinsatzplan!V11:V11,Personaleinsatzplan!V14:V14,Personaleinsatzplan!V17:V17)</f>
        <v>0</v>
      </c>
      <c r="M62" s="304"/>
      <c r="N62" s="304"/>
      <c r="O62" s="304"/>
      <c r="P62" s="304"/>
      <c r="Q62" s="304"/>
      <c r="R62" s="304"/>
      <c r="S62" s="304"/>
      <c r="T62" s="304"/>
    </row>
    <row r="63" spans="1:20" s="1" customFormat="1" ht="10.5" customHeight="1" x14ac:dyDescent="0.25">
      <c r="A63" s="152"/>
      <c r="B63" s="153"/>
      <c r="C63" s="65"/>
      <c r="E63" s="155"/>
      <c r="F63" s="154"/>
      <c r="G63" s="200"/>
      <c r="H63" s="200"/>
      <c r="I63" s="201"/>
      <c r="J63" s="201"/>
      <c r="K63" s="201"/>
      <c r="M63" s="304"/>
      <c r="N63" s="304"/>
      <c r="O63" s="304"/>
      <c r="P63" s="304"/>
      <c r="Q63" s="304"/>
      <c r="R63" s="304"/>
      <c r="S63" s="304"/>
      <c r="T63" s="304"/>
    </row>
    <row r="64" spans="1:20" s="1" customFormat="1" ht="18" customHeight="1" x14ac:dyDescent="0.25">
      <c r="A64" s="152"/>
      <c r="B64" s="153" t="s">
        <v>205</v>
      </c>
      <c r="C64" s="65"/>
      <c r="E64" s="155"/>
      <c r="F64" s="154"/>
      <c r="G64" s="282">
        <f>SUM(G25,G35,G45,G53,G62)</f>
        <v>74198.524065943289</v>
      </c>
      <c r="H64" s="200"/>
      <c r="I64" s="201"/>
      <c r="J64" s="201"/>
      <c r="K64" s="280">
        <f>SUM(K62,K53,K45,K35,K25)</f>
        <v>74411.815382291519</v>
      </c>
      <c r="M64" s="304"/>
      <c r="N64" s="304"/>
      <c r="O64" s="304"/>
      <c r="P64" s="304"/>
      <c r="Q64" s="304"/>
      <c r="R64" s="304"/>
      <c r="S64" s="304"/>
      <c r="T64" s="304"/>
    </row>
    <row r="65" spans="1:20" s="1" customFormat="1" ht="10.5" customHeight="1" x14ac:dyDescent="0.25">
      <c r="A65" s="152"/>
      <c r="B65" s="153"/>
      <c r="C65" s="65"/>
      <c r="E65" s="155"/>
      <c r="F65" s="154"/>
      <c r="G65" s="200"/>
      <c r="H65" s="200"/>
      <c r="I65" s="212"/>
      <c r="J65" s="212"/>
      <c r="K65" s="212"/>
      <c r="M65" s="304"/>
      <c r="N65" s="304"/>
      <c r="O65" s="304"/>
      <c r="P65" s="304"/>
      <c r="Q65" s="304"/>
      <c r="R65" s="304"/>
      <c r="S65" s="304"/>
      <c r="T65" s="304"/>
    </row>
    <row r="66" spans="1:20" s="1" customFormat="1" ht="18" customHeight="1" x14ac:dyDescent="0.25">
      <c r="A66" s="152"/>
      <c r="B66" s="153" t="s">
        <v>208</v>
      </c>
      <c r="C66" s="65"/>
      <c r="E66" s="155"/>
      <c r="F66" s="154"/>
      <c r="G66" s="300"/>
      <c r="H66" s="200"/>
      <c r="I66" s="212"/>
      <c r="J66" s="212"/>
      <c r="K66" s="280">
        <f>Personaleinsatzplan!W23+Personaleinsatzplan!W25</f>
        <v>0</v>
      </c>
      <c r="L66" s="311" t="s">
        <v>211</v>
      </c>
      <c r="M66" s="304"/>
      <c r="N66" s="304"/>
      <c r="O66" s="304"/>
      <c r="P66" s="304"/>
      <c r="Q66" s="304"/>
      <c r="R66" s="304"/>
      <c r="S66" s="304"/>
      <c r="T66" s="304"/>
    </row>
    <row r="67" spans="1:20" s="1" customFormat="1" ht="18" customHeight="1" x14ac:dyDescent="0.25">
      <c r="A67" s="152"/>
      <c r="B67" s="153"/>
      <c r="C67" s="65"/>
      <c r="E67" s="155"/>
      <c r="F67" s="154"/>
      <c r="G67" s="200"/>
      <c r="H67" s="200"/>
      <c r="I67" s="201"/>
      <c r="J67" s="201"/>
      <c r="K67" s="201"/>
      <c r="M67" s="304"/>
      <c r="N67" s="304"/>
      <c r="O67" s="304"/>
      <c r="P67" s="304"/>
      <c r="Q67" s="304"/>
      <c r="R67" s="304"/>
      <c r="S67" s="304"/>
      <c r="T67" s="304"/>
    </row>
    <row r="68" spans="1:20" s="1" customFormat="1" ht="18" customHeight="1" x14ac:dyDescent="0.25">
      <c r="A68" s="152"/>
      <c r="B68" s="221" t="s">
        <v>206</v>
      </c>
      <c r="C68" s="65"/>
      <c r="E68" s="155"/>
      <c r="F68" s="154"/>
      <c r="G68" s="200"/>
      <c r="H68" s="200"/>
      <c r="I68" s="201"/>
      <c r="J68" s="201"/>
      <c r="K68" s="281">
        <f>G64+K66</f>
        <v>74198.524065943289</v>
      </c>
      <c r="M68" s="304"/>
      <c r="N68" s="304"/>
      <c r="O68" s="304"/>
      <c r="P68" s="304"/>
      <c r="Q68" s="304"/>
      <c r="R68" s="304"/>
      <c r="S68" s="304"/>
      <c r="T68" s="304"/>
    </row>
    <row r="69" spans="1:20" x14ac:dyDescent="0.25">
      <c r="A69" s="65"/>
      <c r="B69" s="222" t="s">
        <v>207</v>
      </c>
      <c r="C69" s="216"/>
      <c r="D69" s="216"/>
      <c r="E69" s="216"/>
      <c r="F69" s="216"/>
      <c r="G69" s="217"/>
      <c r="H69" s="218"/>
      <c r="I69" s="219"/>
      <c r="J69" s="219"/>
      <c r="K69" s="281">
        <f>K64+K66</f>
        <v>74411.815382291519</v>
      </c>
      <c r="M69" s="305"/>
      <c r="N69" s="305"/>
      <c r="O69" s="305"/>
      <c r="P69" s="305"/>
      <c r="Q69" s="305"/>
      <c r="R69" s="305"/>
      <c r="S69" s="305"/>
      <c r="T69" s="305"/>
    </row>
    <row r="70" spans="1:20" x14ac:dyDescent="0.25">
      <c r="A70" s="65"/>
      <c r="B70" s="220" t="s">
        <v>172</v>
      </c>
      <c r="C70" s="65"/>
      <c r="D70" s="65"/>
      <c r="E70" s="65"/>
      <c r="F70" s="65"/>
      <c r="G70" s="84"/>
      <c r="H70" s="208"/>
      <c r="I70" s="201"/>
      <c r="J70" s="223" t="s">
        <v>171</v>
      </c>
      <c r="K70" s="282">
        <f>ABS(K69-K68)</f>
        <v>213.29131634822988</v>
      </c>
      <c r="M70" s="305"/>
      <c r="N70" s="305"/>
      <c r="O70" s="305"/>
      <c r="P70" s="305"/>
      <c r="Q70" s="305"/>
      <c r="R70" s="305"/>
      <c r="S70" s="305"/>
      <c r="T70" s="305"/>
    </row>
    <row r="71" spans="1:20" ht="5.25" customHeight="1" x14ac:dyDescent="0.25">
      <c r="A71" s="65"/>
      <c r="B71" s="213"/>
      <c r="C71" s="65"/>
      <c r="D71" s="65"/>
      <c r="E71" s="65"/>
      <c r="F71" s="65"/>
      <c r="G71" s="84"/>
      <c r="H71" s="208"/>
      <c r="I71" s="201"/>
      <c r="J71" s="201"/>
      <c r="K71" s="201"/>
      <c r="M71" s="305"/>
      <c r="N71" s="305"/>
      <c r="O71" s="305"/>
      <c r="P71" s="305"/>
      <c r="Q71" s="305"/>
      <c r="R71" s="305"/>
      <c r="S71" s="305"/>
      <c r="T71" s="305"/>
    </row>
    <row r="72" spans="1:20" x14ac:dyDescent="0.25">
      <c r="A72" s="40" t="s">
        <v>212</v>
      </c>
    </row>
  </sheetData>
  <mergeCells count="17">
    <mergeCell ref="B13:B16"/>
    <mergeCell ref="A13:A16"/>
    <mergeCell ref="I20:K22"/>
    <mergeCell ref="I13:K15"/>
    <mergeCell ref="I29:K31"/>
    <mergeCell ref="I57:K59"/>
    <mergeCell ref="D11:E11"/>
    <mergeCell ref="I16:K16"/>
    <mergeCell ref="D13:G13"/>
    <mergeCell ref="D3:K3"/>
    <mergeCell ref="D4:K4"/>
    <mergeCell ref="D7:E7"/>
    <mergeCell ref="D8:E8"/>
    <mergeCell ref="D9:E9"/>
    <mergeCell ref="D10:E10"/>
    <mergeCell ref="I49:K49"/>
    <mergeCell ref="I39:K41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9"/>
  <sheetViews>
    <sheetView showGridLines="0" zoomScaleNormal="100" zoomScaleSheetLayoutView="100" workbookViewId="0">
      <selection activeCell="D3" sqref="D3:N4"/>
    </sheetView>
  </sheetViews>
  <sheetFormatPr baseColWidth="10" defaultColWidth="11.44140625" defaultRowHeight="13.2" x14ac:dyDescent="0.25"/>
  <cols>
    <col min="1" max="1" width="15" style="238" customWidth="1"/>
    <col min="2" max="2" width="5.109375" style="238" customWidth="1"/>
    <col min="3" max="3" width="7.109375" style="238" customWidth="1"/>
    <col min="4" max="6" width="11.44140625" style="238"/>
    <col min="7" max="7" width="2" style="238" customWidth="1"/>
    <col min="8" max="8" width="9.109375" style="238" bestFit="1" customWidth="1"/>
    <col min="9" max="9" width="2" style="238" bestFit="1" customWidth="1"/>
    <col min="10" max="10" width="10.88671875" style="238" bestFit="1" customWidth="1"/>
    <col min="11" max="11" width="2.109375" style="238" bestFit="1" customWidth="1"/>
    <col min="12" max="12" width="11.6640625" style="238" bestFit="1" customWidth="1"/>
    <col min="13" max="13" width="2.109375" style="238" customWidth="1"/>
    <col min="14" max="14" width="14.44140625" style="238" bestFit="1" customWidth="1"/>
    <col min="15" max="16384" width="11.44140625" style="238"/>
  </cols>
  <sheetData>
    <row r="1" spans="1:15" s="234" customFormat="1" ht="17.399999999999999" x14ac:dyDescent="0.3">
      <c r="A1" s="232" t="s">
        <v>187</v>
      </c>
      <c r="B1" s="233"/>
      <c r="C1" s="233"/>
      <c r="D1" s="233"/>
      <c r="E1" s="233"/>
      <c r="F1" s="233"/>
      <c r="G1" s="233"/>
    </row>
    <row r="2" spans="1:15" s="234" customFormat="1" ht="17.399999999999999" x14ac:dyDescent="0.3">
      <c r="A2" s="232"/>
      <c r="B2" s="233"/>
      <c r="C2" s="233"/>
      <c r="D2" s="233"/>
      <c r="E2" s="233"/>
      <c r="F2" s="233"/>
      <c r="G2" s="233"/>
    </row>
    <row r="3" spans="1:15" s="236" customFormat="1" ht="15.6" x14ac:dyDescent="0.3">
      <c r="A3" s="235" t="s">
        <v>61</v>
      </c>
      <c r="B3" s="235"/>
      <c r="C3" s="235"/>
      <c r="D3" s="458" t="str">
        <f>Honorarberechnung!D3</f>
        <v>20 Wohneinheiten mit Tiefgarage</v>
      </c>
      <c r="E3" s="459"/>
      <c r="F3" s="459"/>
      <c r="G3" s="459"/>
      <c r="H3" s="459"/>
      <c r="I3" s="459"/>
      <c r="J3" s="459"/>
      <c r="K3" s="459"/>
      <c r="L3" s="459"/>
      <c r="M3" s="459"/>
      <c r="N3" s="460"/>
    </row>
    <row r="4" spans="1:15" s="236" customFormat="1" ht="15.6" x14ac:dyDescent="0.3">
      <c r="A4" s="235" t="s">
        <v>62</v>
      </c>
      <c r="B4" s="235"/>
      <c r="C4" s="235"/>
      <c r="D4" s="458" t="str">
        <f>Honorarberechnung!D4</f>
        <v>AG 02</v>
      </c>
      <c r="E4" s="459"/>
      <c r="F4" s="459"/>
      <c r="G4" s="459"/>
      <c r="H4" s="459"/>
      <c r="I4" s="459"/>
      <c r="J4" s="459"/>
      <c r="K4" s="459"/>
      <c r="L4" s="459"/>
      <c r="M4" s="459"/>
      <c r="N4" s="460"/>
    </row>
    <row r="7" spans="1:15" ht="16.5" customHeight="1" x14ac:dyDescent="0.3">
      <c r="A7" s="450" t="s">
        <v>225</v>
      </c>
      <c r="B7" s="452" t="s">
        <v>233</v>
      </c>
      <c r="C7" s="452"/>
      <c r="D7" s="452"/>
      <c r="E7" s="452"/>
      <c r="F7" s="453"/>
      <c r="G7" s="237"/>
      <c r="H7" s="239" t="s">
        <v>170</v>
      </c>
      <c r="I7" s="456" t="s">
        <v>189</v>
      </c>
      <c r="J7" s="239" t="s">
        <v>188</v>
      </c>
      <c r="K7" s="457" t="s">
        <v>190</v>
      </c>
      <c r="L7" s="254"/>
      <c r="M7" s="461"/>
      <c r="N7" s="462" t="s">
        <v>2</v>
      </c>
      <c r="O7" s="237"/>
    </row>
    <row r="8" spans="1:15" ht="13.8" x14ac:dyDescent="0.25">
      <c r="A8" s="451"/>
      <c r="B8" s="454"/>
      <c r="C8" s="454"/>
      <c r="D8" s="454"/>
      <c r="E8" s="454"/>
      <c r="F8" s="455"/>
      <c r="G8" s="237"/>
      <c r="H8" s="240"/>
      <c r="I8" s="456"/>
      <c r="J8" s="241"/>
      <c r="K8" s="457"/>
      <c r="L8" s="253"/>
      <c r="M8" s="461"/>
      <c r="N8" s="463"/>
      <c r="O8" s="237"/>
    </row>
    <row r="9" spans="1:15" ht="6.75" customHeight="1" x14ac:dyDescent="0.25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43"/>
      <c r="N9" s="244"/>
      <c r="O9" s="237"/>
    </row>
    <row r="10" spans="1:15" ht="17.25" customHeight="1" x14ac:dyDescent="0.3">
      <c r="A10" s="450" t="s">
        <v>226</v>
      </c>
      <c r="B10" s="452" t="s">
        <v>191</v>
      </c>
      <c r="C10" s="452"/>
      <c r="D10" s="452"/>
      <c r="E10" s="452"/>
      <c r="F10" s="453"/>
      <c r="G10" s="237"/>
      <c r="H10" s="239" t="s">
        <v>223</v>
      </c>
      <c r="I10" s="456" t="s">
        <v>189</v>
      </c>
      <c r="J10" s="239" t="s">
        <v>224</v>
      </c>
      <c r="K10" s="456" t="s">
        <v>189</v>
      </c>
      <c r="L10" s="239" t="s">
        <v>188</v>
      </c>
      <c r="M10" s="457" t="s">
        <v>190</v>
      </c>
      <c r="N10" s="462" t="s">
        <v>2</v>
      </c>
      <c r="O10" s="237"/>
    </row>
    <row r="11" spans="1:15" ht="13.8" x14ac:dyDescent="0.25">
      <c r="A11" s="451"/>
      <c r="B11" s="454"/>
      <c r="C11" s="454"/>
      <c r="D11" s="454"/>
      <c r="E11" s="454"/>
      <c r="F11" s="455"/>
      <c r="G11" s="237"/>
      <c r="H11" s="240"/>
      <c r="I11" s="456"/>
      <c r="J11" s="241"/>
      <c r="K11" s="456"/>
      <c r="L11" s="242"/>
      <c r="M11" s="457"/>
      <c r="N11" s="463"/>
      <c r="O11" s="237"/>
    </row>
    <row r="12" spans="1:15" ht="6" customHeight="1" x14ac:dyDescent="0.25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43"/>
      <c r="N12" s="244"/>
      <c r="O12" s="237"/>
    </row>
    <row r="13" spans="1:15" ht="15.75" customHeight="1" x14ac:dyDescent="0.3">
      <c r="A13" s="450" t="s">
        <v>227</v>
      </c>
      <c r="B13" s="452" t="s">
        <v>234</v>
      </c>
      <c r="C13" s="452"/>
      <c r="D13" s="452"/>
      <c r="E13" s="452"/>
      <c r="F13" s="453"/>
      <c r="G13" s="237"/>
      <c r="H13" s="239" t="s">
        <v>223</v>
      </c>
      <c r="I13" s="456" t="s">
        <v>189</v>
      </c>
      <c r="J13" s="239" t="s">
        <v>224</v>
      </c>
      <c r="K13" s="456" t="s">
        <v>189</v>
      </c>
      <c r="L13" s="239" t="s">
        <v>188</v>
      </c>
      <c r="M13" s="457" t="s">
        <v>190</v>
      </c>
      <c r="N13" s="462" t="s">
        <v>2</v>
      </c>
      <c r="O13" s="237"/>
    </row>
    <row r="14" spans="1:15" ht="13.8" x14ac:dyDescent="0.25">
      <c r="A14" s="451"/>
      <c r="B14" s="454"/>
      <c r="C14" s="454"/>
      <c r="D14" s="454"/>
      <c r="E14" s="454"/>
      <c r="F14" s="455"/>
      <c r="G14" s="237"/>
      <c r="H14" s="240"/>
      <c r="I14" s="456"/>
      <c r="J14" s="241"/>
      <c r="K14" s="456"/>
      <c r="L14" s="242"/>
      <c r="M14" s="457"/>
      <c r="N14" s="463"/>
      <c r="O14" s="237"/>
    </row>
    <row r="15" spans="1:15" ht="6" customHeight="1" x14ac:dyDescent="0.25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43"/>
      <c r="N15" s="244"/>
      <c r="O15" s="237"/>
    </row>
    <row r="16" spans="1:15" ht="15.75" customHeight="1" x14ac:dyDescent="0.3">
      <c r="A16" s="450" t="s">
        <v>228</v>
      </c>
      <c r="B16" s="452" t="s">
        <v>235</v>
      </c>
      <c r="C16" s="452"/>
      <c r="D16" s="452"/>
      <c r="E16" s="452"/>
      <c r="F16" s="453"/>
      <c r="G16" s="237"/>
      <c r="H16" s="239" t="s">
        <v>223</v>
      </c>
      <c r="I16" s="456" t="s">
        <v>189</v>
      </c>
      <c r="J16" s="239" t="s">
        <v>224</v>
      </c>
      <c r="K16" s="456" t="s">
        <v>189</v>
      </c>
      <c r="L16" s="239" t="s">
        <v>188</v>
      </c>
      <c r="M16" s="457" t="s">
        <v>190</v>
      </c>
      <c r="N16" s="462" t="s">
        <v>2</v>
      </c>
      <c r="O16" s="237"/>
    </row>
    <row r="17" spans="1:15" ht="13.8" x14ac:dyDescent="0.25">
      <c r="A17" s="451"/>
      <c r="B17" s="454"/>
      <c r="C17" s="454"/>
      <c r="D17" s="454"/>
      <c r="E17" s="454"/>
      <c r="F17" s="455"/>
      <c r="G17" s="237"/>
      <c r="H17" s="240"/>
      <c r="I17" s="456"/>
      <c r="J17" s="241"/>
      <c r="K17" s="456"/>
      <c r="L17" s="242"/>
      <c r="M17" s="457"/>
      <c r="N17" s="463"/>
      <c r="O17" s="237"/>
    </row>
    <row r="18" spans="1:15" ht="6.75" customHeight="1" x14ac:dyDescent="0.25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43"/>
      <c r="N18" s="244"/>
      <c r="O18" s="237"/>
    </row>
    <row r="19" spans="1:15" ht="17.25" customHeight="1" x14ac:dyDescent="0.3">
      <c r="A19" s="450" t="s">
        <v>229</v>
      </c>
      <c r="B19" s="452" t="s">
        <v>236</v>
      </c>
      <c r="C19" s="452"/>
      <c r="D19" s="452"/>
      <c r="E19" s="452"/>
      <c r="F19" s="453"/>
      <c r="G19" s="237"/>
      <c r="H19" s="239" t="s">
        <v>223</v>
      </c>
      <c r="I19" s="456" t="s">
        <v>189</v>
      </c>
      <c r="J19" s="239" t="s">
        <v>224</v>
      </c>
      <c r="K19" s="456" t="s">
        <v>189</v>
      </c>
      <c r="L19" s="239" t="s">
        <v>188</v>
      </c>
      <c r="M19" s="457" t="s">
        <v>190</v>
      </c>
      <c r="N19" s="462" t="s">
        <v>2</v>
      </c>
      <c r="O19" s="237"/>
    </row>
    <row r="20" spans="1:15" ht="13.8" x14ac:dyDescent="0.25">
      <c r="A20" s="451"/>
      <c r="B20" s="454"/>
      <c r="C20" s="454"/>
      <c r="D20" s="454"/>
      <c r="E20" s="454"/>
      <c r="F20" s="455"/>
      <c r="G20" s="237"/>
      <c r="H20" s="240"/>
      <c r="I20" s="456"/>
      <c r="J20" s="241"/>
      <c r="K20" s="456"/>
      <c r="L20" s="242"/>
      <c r="M20" s="457"/>
      <c r="N20" s="463"/>
      <c r="O20" s="237"/>
    </row>
    <row r="21" spans="1:15" ht="6" customHeight="1" x14ac:dyDescent="0.25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43"/>
      <c r="N21" s="244"/>
      <c r="O21" s="237"/>
    </row>
    <row r="22" spans="1:15" ht="15.75" customHeight="1" x14ac:dyDescent="0.3">
      <c r="A22" s="317" t="s">
        <v>238</v>
      </c>
      <c r="B22" s="452" t="s">
        <v>237</v>
      </c>
      <c r="C22" s="452"/>
      <c r="D22" s="452"/>
      <c r="E22" s="452"/>
      <c r="F22" s="453"/>
      <c r="G22" s="237"/>
      <c r="H22" s="239" t="s">
        <v>223</v>
      </c>
      <c r="I22" s="456" t="s">
        <v>189</v>
      </c>
      <c r="J22" s="239" t="s">
        <v>224</v>
      </c>
      <c r="K22" s="456" t="s">
        <v>189</v>
      </c>
      <c r="L22" s="239" t="s">
        <v>188</v>
      </c>
      <c r="M22" s="457" t="s">
        <v>190</v>
      </c>
      <c r="N22" s="462" t="s">
        <v>2</v>
      </c>
      <c r="O22" s="237"/>
    </row>
    <row r="23" spans="1:15" ht="13.8" x14ac:dyDescent="0.25">
      <c r="A23" s="318"/>
      <c r="B23" s="454"/>
      <c r="C23" s="454"/>
      <c r="D23" s="454"/>
      <c r="E23" s="454"/>
      <c r="F23" s="455"/>
      <c r="G23" s="237"/>
      <c r="H23" s="240"/>
      <c r="I23" s="456"/>
      <c r="J23" s="241"/>
      <c r="K23" s="456"/>
      <c r="L23" s="242"/>
      <c r="M23" s="457"/>
      <c r="N23" s="463"/>
      <c r="O23" s="237"/>
    </row>
    <row r="24" spans="1:15" ht="6" customHeight="1" x14ac:dyDescent="0.25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43"/>
      <c r="N24" s="244"/>
      <c r="O24" s="237"/>
    </row>
    <row r="25" spans="1:15" ht="15.75" customHeight="1" x14ac:dyDescent="0.3">
      <c r="A25" s="464" t="s">
        <v>240</v>
      </c>
      <c r="B25" s="452" t="s">
        <v>239</v>
      </c>
      <c r="C25" s="452"/>
      <c r="D25" s="452"/>
      <c r="E25" s="452"/>
      <c r="F25" s="453"/>
      <c r="G25" s="237"/>
      <c r="H25" s="239" t="s">
        <v>170</v>
      </c>
      <c r="I25" s="456" t="s">
        <v>189</v>
      </c>
      <c r="J25" s="239" t="s">
        <v>188</v>
      </c>
      <c r="K25" s="457" t="s">
        <v>190</v>
      </c>
      <c r="L25" s="254"/>
      <c r="M25" s="461"/>
      <c r="N25" s="462" t="s">
        <v>2</v>
      </c>
      <c r="O25" s="237"/>
    </row>
    <row r="26" spans="1:15" ht="13.8" x14ac:dyDescent="0.25">
      <c r="A26" s="465"/>
      <c r="B26" s="454"/>
      <c r="C26" s="454"/>
      <c r="D26" s="454"/>
      <c r="E26" s="454"/>
      <c r="F26" s="455"/>
      <c r="G26" s="237"/>
      <c r="H26" s="240"/>
      <c r="I26" s="456"/>
      <c r="J26" s="241"/>
      <c r="K26" s="457"/>
      <c r="L26" s="253"/>
      <c r="M26" s="461"/>
      <c r="N26" s="463"/>
      <c r="O26" s="237"/>
    </row>
    <row r="27" spans="1:15" ht="6" customHeight="1" x14ac:dyDescent="0.25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43"/>
      <c r="N27" s="244"/>
      <c r="O27" s="237"/>
    </row>
    <row r="28" spans="1:15" ht="15.75" customHeight="1" x14ac:dyDescent="0.3">
      <c r="A28" s="450" t="s">
        <v>242</v>
      </c>
      <c r="B28" s="452" t="s">
        <v>241</v>
      </c>
      <c r="C28" s="452"/>
      <c r="D28" s="452"/>
      <c r="E28" s="452"/>
      <c r="F28" s="453"/>
      <c r="G28" s="237"/>
      <c r="H28" s="239" t="s">
        <v>147</v>
      </c>
      <c r="I28" s="456" t="s">
        <v>189</v>
      </c>
      <c r="J28" s="239" t="s">
        <v>192</v>
      </c>
      <c r="K28" s="456" t="s">
        <v>189</v>
      </c>
      <c r="L28" s="239" t="s">
        <v>188</v>
      </c>
      <c r="M28" s="457" t="s">
        <v>190</v>
      </c>
      <c r="N28" s="462" t="s">
        <v>2</v>
      </c>
      <c r="O28" s="237"/>
    </row>
    <row r="29" spans="1:15" ht="13.8" x14ac:dyDescent="0.25">
      <c r="A29" s="451"/>
      <c r="B29" s="454"/>
      <c r="C29" s="454"/>
      <c r="D29" s="454"/>
      <c r="E29" s="454"/>
      <c r="F29" s="455"/>
      <c r="G29" s="237"/>
      <c r="H29" s="240"/>
      <c r="I29" s="456"/>
      <c r="J29" s="241"/>
      <c r="K29" s="456"/>
      <c r="L29" s="242"/>
      <c r="M29" s="457"/>
      <c r="N29" s="463"/>
      <c r="O29" s="237"/>
    </row>
    <row r="30" spans="1:15" ht="6.75" customHeight="1" x14ac:dyDescent="0.25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43"/>
      <c r="N30" s="244"/>
      <c r="O30" s="237"/>
    </row>
    <row r="31" spans="1:15" ht="17.25" customHeight="1" x14ac:dyDescent="0.3">
      <c r="A31" s="450" t="s">
        <v>230</v>
      </c>
      <c r="B31" s="452" t="s">
        <v>243</v>
      </c>
      <c r="C31" s="452"/>
      <c r="D31" s="452"/>
      <c r="E31" s="452"/>
      <c r="F31" s="453"/>
      <c r="G31" s="237"/>
      <c r="H31" s="239" t="s">
        <v>170</v>
      </c>
      <c r="I31" s="456" t="s">
        <v>189</v>
      </c>
      <c r="J31" s="239" t="s">
        <v>188</v>
      </c>
      <c r="K31" s="457" t="s">
        <v>190</v>
      </c>
      <c r="L31" s="254"/>
      <c r="M31" s="461"/>
      <c r="N31" s="462" t="s">
        <v>2</v>
      </c>
      <c r="O31" s="237"/>
    </row>
    <row r="32" spans="1:15" ht="13.8" x14ac:dyDescent="0.25">
      <c r="A32" s="451"/>
      <c r="B32" s="454"/>
      <c r="C32" s="454"/>
      <c r="D32" s="454"/>
      <c r="E32" s="454"/>
      <c r="F32" s="455"/>
      <c r="G32" s="237"/>
      <c r="H32" s="240"/>
      <c r="I32" s="456"/>
      <c r="J32" s="241"/>
      <c r="K32" s="457"/>
      <c r="L32" s="253"/>
      <c r="M32" s="461"/>
      <c r="N32" s="463"/>
      <c r="O32" s="237"/>
    </row>
    <row r="33" spans="1:15" ht="6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43"/>
      <c r="N33" s="244"/>
      <c r="O33" s="237"/>
    </row>
    <row r="34" spans="1:15" ht="15.75" customHeight="1" x14ac:dyDescent="0.3">
      <c r="A34" s="450" t="s">
        <v>231</v>
      </c>
      <c r="B34" s="452" t="s">
        <v>244</v>
      </c>
      <c r="C34" s="452"/>
      <c r="D34" s="452"/>
      <c r="E34" s="452"/>
      <c r="F34" s="453"/>
      <c r="G34" s="237"/>
      <c r="H34" s="239" t="s">
        <v>170</v>
      </c>
      <c r="I34" s="456" t="s">
        <v>189</v>
      </c>
      <c r="J34" s="239" t="s">
        <v>188</v>
      </c>
      <c r="K34" s="457" t="s">
        <v>190</v>
      </c>
      <c r="L34" s="254"/>
      <c r="M34" s="461"/>
      <c r="N34" s="462" t="s">
        <v>2</v>
      </c>
      <c r="O34" s="237"/>
    </row>
    <row r="35" spans="1:15" ht="13.8" x14ac:dyDescent="0.25">
      <c r="A35" s="451"/>
      <c r="B35" s="454"/>
      <c r="C35" s="454"/>
      <c r="D35" s="454"/>
      <c r="E35" s="454"/>
      <c r="F35" s="455"/>
      <c r="G35" s="237"/>
      <c r="H35" s="240"/>
      <c r="I35" s="456"/>
      <c r="J35" s="241"/>
      <c r="K35" s="457"/>
      <c r="L35" s="253"/>
      <c r="M35" s="461"/>
      <c r="N35" s="463"/>
      <c r="O35" s="237"/>
    </row>
    <row r="36" spans="1:15" ht="11.25" customHeight="1" x14ac:dyDescent="0.2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44"/>
      <c r="O36" s="237"/>
    </row>
    <row r="37" spans="1:15" s="250" customFormat="1" ht="21" customHeight="1" x14ac:dyDescent="0.25">
      <c r="A37" s="245" t="s">
        <v>164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55"/>
      <c r="M37" s="247"/>
      <c r="N37" s="248" t="s">
        <v>2</v>
      </c>
      <c r="O37" s="249"/>
    </row>
    <row r="38" spans="1:15" ht="9.75" customHeight="1" x14ac:dyDescent="0.25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51"/>
      <c r="N38" s="237"/>
      <c r="O38" s="237"/>
    </row>
    <row r="39" spans="1:15" x14ac:dyDescent="0.25">
      <c r="A39" s="252" t="s">
        <v>232</v>
      </c>
    </row>
  </sheetData>
  <mergeCells count="61">
    <mergeCell ref="M31:M32"/>
    <mergeCell ref="N31:N32"/>
    <mergeCell ref="K34:K35"/>
    <mergeCell ref="M34:M35"/>
    <mergeCell ref="N34:N35"/>
    <mergeCell ref="K31:K32"/>
    <mergeCell ref="K28:K29"/>
    <mergeCell ref="M28:M29"/>
    <mergeCell ref="M25:M26"/>
    <mergeCell ref="N25:N26"/>
    <mergeCell ref="K25:K26"/>
    <mergeCell ref="N28:N29"/>
    <mergeCell ref="A34:A35"/>
    <mergeCell ref="B34:F35"/>
    <mergeCell ref="I34:I35"/>
    <mergeCell ref="B22:F23"/>
    <mergeCell ref="I22:I23"/>
    <mergeCell ref="A31:A32"/>
    <mergeCell ref="B31:F32"/>
    <mergeCell ref="A25:A26"/>
    <mergeCell ref="B25:F26"/>
    <mergeCell ref="I25:I26"/>
    <mergeCell ref="I31:I32"/>
    <mergeCell ref="A28:A29"/>
    <mergeCell ref="B28:F29"/>
    <mergeCell ref="I28:I29"/>
    <mergeCell ref="K22:K23"/>
    <mergeCell ref="M22:M23"/>
    <mergeCell ref="N22:N23"/>
    <mergeCell ref="N10:N11"/>
    <mergeCell ref="A19:A20"/>
    <mergeCell ref="B19:F20"/>
    <mergeCell ref="I19:I20"/>
    <mergeCell ref="A16:A17"/>
    <mergeCell ref="B16:F17"/>
    <mergeCell ref="I16:I17"/>
    <mergeCell ref="K19:K20"/>
    <mergeCell ref="M19:M20"/>
    <mergeCell ref="N19:N20"/>
    <mergeCell ref="K16:K17"/>
    <mergeCell ref="M16:M17"/>
    <mergeCell ref="N16:N17"/>
    <mergeCell ref="K13:K14"/>
    <mergeCell ref="M13:M14"/>
    <mergeCell ref="N13:N14"/>
    <mergeCell ref="A13:A14"/>
    <mergeCell ref="B13:F14"/>
    <mergeCell ref="I13:I14"/>
    <mergeCell ref="D3:N3"/>
    <mergeCell ref="D4:N4"/>
    <mergeCell ref="A7:A8"/>
    <mergeCell ref="B7:F8"/>
    <mergeCell ref="I7:I8"/>
    <mergeCell ref="K7:K8"/>
    <mergeCell ref="M7:M8"/>
    <mergeCell ref="N7:N8"/>
    <mergeCell ref="A10:A11"/>
    <mergeCell ref="B10:F11"/>
    <mergeCell ref="I10:I11"/>
    <mergeCell ref="K10:K11"/>
    <mergeCell ref="M10:M11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Eingabe Stundensatz</vt:lpstr>
      <vt:lpstr>Projektannahmen</vt:lpstr>
      <vt:lpstr>Leistungsumfang</vt:lpstr>
      <vt:lpstr>Terminplan</vt:lpstr>
      <vt:lpstr>Projektklassenfaktor</vt:lpstr>
      <vt:lpstr>Honorarberechnung</vt:lpstr>
      <vt:lpstr>Personaleinsatzplan</vt:lpstr>
      <vt:lpstr>Plausibilitätsprüfung</vt:lpstr>
      <vt:lpstr>LV</vt:lpstr>
      <vt:lpstr>Honorarberechnung!Druckbereich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2012-06-26T11:22:08Z</cp:lastPrinted>
  <dcterms:created xsi:type="dcterms:W3CDTF">2005-07-25T10:35:30Z</dcterms:created>
  <dcterms:modified xsi:type="dcterms:W3CDTF">2019-02-26T09:06:56Z</dcterms:modified>
</cp:coreProperties>
</file>