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C:\Users\Seyfried\Documents\ÖKKV\Informationen für den Kälte - Klima - Und Wärmepumpenbauer\"/>
    </mc:Choice>
  </mc:AlternateContent>
  <xr:revisionPtr revIDLastSave="0" documentId="13_ncr:1_{486BCE34-AA8F-4D07-BCCF-BDD4D02E12B7}" xr6:coauthVersionLast="36" xr6:coauthVersionMax="45" xr10:uidLastSave="{00000000-0000-0000-0000-000000000000}"/>
  <bookViews>
    <workbookView xWindow="-108" yWindow="-108" windowWidth="23256" windowHeight="13176" tabRatio="813" xr2:uid="{00000000-000D-0000-FFFF-FFFF00000000}"/>
  </bookViews>
  <sheets>
    <sheet name="Kategorisieren auf einem Blick" sheetId="2" r:id="rId1"/>
  </sheets>
  <definedNames>
    <definedName name="_xlnm.Print_Area" localSheetId="0">'Kategorisieren auf einem Blick'!$A$1:$L$43</definedName>
  </definedNames>
  <calcPr calcId="191029"/>
</workbook>
</file>

<file path=xl/calcChain.xml><?xml version="1.0" encoding="utf-8"?>
<calcChain xmlns="http://schemas.openxmlformats.org/spreadsheetml/2006/main">
  <c r="B30" i="2" l="1"/>
  <c r="B31" i="2"/>
  <c r="B29" i="2" l="1"/>
  <c r="C53" i="2"/>
  <c r="C54" i="2"/>
  <c r="C55" i="2"/>
  <c r="C56" i="2"/>
  <c r="C57" i="2"/>
  <c r="C58" i="2"/>
  <c r="C59" i="2"/>
  <c r="C60" i="2"/>
  <c r="C61" i="2"/>
  <c r="C62" i="2"/>
  <c r="C63" i="2"/>
  <c r="C64" i="2"/>
  <c r="C65" i="2"/>
  <c r="C66" i="2"/>
  <c r="C67" i="2"/>
  <c r="C68" i="2"/>
  <c r="C69" i="2"/>
  <c r="C70" i="2"/>
  <c r="C71" i="2"/>
  <c r="C72" i="2"/>
  <c r="C52" i="2"/>
  <c r="B53" i="2"/>
  <c r="B54" i="2"/>
  <c r="B55" i="2"/>
  <c r="B56" i="2"/>
  <c r="B57" i="2"/>
  <c r="B58" i="2"/>
  <c r="B59" i="2"/>
  <c r="B60" i="2"/>
  <c r="B61" i="2"/>
  <c r="B62" i="2"/>
  <c r="B63" i="2"/>
  <c r="B64" i="2"/>
  <c r="B65" i="2"/>
  <c r="B66" i="2"/>
  <c r="B67" i="2"/>
  <c r="B68" i="2"/>
  <c r="B69" i="2"/>
  <c r="B70" i="2"/>
  <c r="B71" i="2"/>
  <c r="B72" i="2"/>
  <c r="B52" i="2"/>
  <c r="D53" i="2"/>
  <c r="D54" i="2"/>
  <c r="D55" i="2"/>
  <c r="D56" i="2"/>
  <c r="D57" i="2"/>
  <c r="D58" i="2"/>
  <c r="D59" i="2"/>
  <c r="D60" i="2"/>
  <c r="D61" i="2"/>
  <c r="D62" i="2"/>
  <c r="D63" i="2"/>
  <c r="D64" i="2"/>
  <c r="D65" i="2"/>
  <c r="D66" i="2"/>
  <c r="D67" i="2"/>
  <c r="D68" i="2"/>
  <c r="D69" i="2"/>
  <c r="D70" i="2"/>
  <c r="D71" i="2"/>
  <c r="D72" i="2"/>
  <c r="D52" i="2"/>
  <c r="W51" i="2"/>
  <c r="G33" i="2" l="1"/>
  <c r="S51" i="2"/>
  <c r="G28" i="2" l="1"/>
  <c r="G11" i="2"/>
  <c r="J32" i="2" l="1"/>
  <c r="I32" i="2"/>
  <c r="J13" i="2"/>
  <c r="I13" i="2"/>
  <c r="G27" i="2" l="1"/>
  <c r="W23" i="2" s="1"/>
  <c r="G10" i="2"/>
  <c r="W19" i="2" l="1"/>
  <c r="W5" i="2"/>
  <c r="W4" i="2"/>
  <c r="W9" i="2"/>
  <c r="W7" i="2"/>
  <c r="W6" i="2"/>
  <c r="Z26" i="2"/>
  <c r="Z29" i="2" s="1"/>
  <c r="AC26" i="2" l="1"/>
  <c r="AC29" i="2" s="1"/>
  <c r="F30" i="2" l="1"/>
  <c r="O50" i="2"/>
  <c r="L49" i="2"/>
  <c r="G15" i="2"/>
  <c r="G34" i="2" l="1"/>
  <c r="G23" i="2"/>
  <c r="U7" i="2"/>
  <c r="U5" i="2"/>
  <c r="U9" i="2"/>
  <c r="U6" i="2"/>
  <c r="U4" i="2"/>
  <c r="G19" i="2"/>
  <c r="F20" i="2" s="1"/>
  <c r="U23" i="2"/>
  <c r="U20" i="2"/>
  <c r="W20" i="2"/>
  <c r="U19" i="2"/>
  <c r="U21" i="2"/>
  <c r="W21" i="2"/>
  <c r="G16" i="2" l="1"/>
  <c r="F17" i="2" s="1"/>
  <c r="G35" i="2"/>
  <c r="AC27" i="2"/>
  <c r="Z27" i="2"/>
  <c r="Z30" i="2" s="1"/>
  <c r="AD39" i="2" l="1"/>
  <c r="AC30" i="2"/>
  <c r="AD34" i="2"/>
  <c r="AD30" i="2"/>
  <c r="AA38" i="2"/>
  <c r="AA32" i="2"/>
  <c r="AA31" i="2"/>
  <c r="G39" i="2"/>
  <c r="F40" i="2" s="1"/>
  <c r="AC28" i="2"/>
  <c r="Z28" i="2"/>
  <c r="AA39" i="2" s="1"/>
  <c r="AD35" i="2" l="1"/>
  <c r="AD36" i="2" s="1"/>
  <c r="AD31" i="2"/>
  <c r="AD32" i="2" s="1"/>
  <c r="AC32" i="2" s="1"/>
  <c r="AD33" i="2" s="1"/>
  <c r="AD40" i="2"/>
  <c r="AD41" i="2" s="1"/>
  <c r="AA33" i="2"/>
  <c r="Z31" i="2" s="1"/>
  <c r="AD37" i="2" l="1"/>
  <c r="AC37" i="2" s="1"/>
  <c r="AD38" i="2" s="1"/>
  <c r="AD42" i="2" s="1"/>
  <c r="AC42" i="2" s="1"/>
  <c r="AD43" i="2" s="1"/>
  <c r="AC43" i="2" s="1"/>
  <c r="AC44" i="2" l="1"/>
  <c r="AD44" i="2" s="1"/>
  <c r="AA34" i="2"/>
  <c r="Z34" i="2" s="1"/>
  <c r="AA35" i="2" s="1"/>
  <c r="Z35" i="2" s="1"/>
  <c r="AA36" i="2" l="1"/>
  <c r="AA37" i="2" s="1"/>
  <c r="Z37" i="2" s="1"/>
  <c r="AA40" i="2" l="1"/>
  <c r="Z40" i="2" s="1"/>
  <c r="Z41" i="2" l="1"/>
  <c r="AA41" i="2" s="1"/>
  <c r="AB49" i="2" s="1"/>
  <c r="G36" i="2" s="1"/>
  <c r="F37" i="2" s="1"/>
</calcChain>
</file>

<file path=xl/sharedStrings.xml><?xml version="1.0" encoding="utf-8"?>
<sst xmlns="http://schemas.openxmlformats.org/spreadsheetml/2006/main" count="477" uniqueCount="215">
  <si>
    <t>Kategorie</t>
  </si>
  <si>
    <t>Fluidgruppe</t>
  </si>
  <si>
    <t>[bar]</t>
  </si>
  <si>
    <r>
      <t xml:space="preserve">maximal zulässiger Betriebsdruck, </t>
    </r>
    <r>
      <rPr>
        <b/>
        <sz val="10"/>
        <rFont val="Arial"/>
        <family val="2"/>
      </rPr>
      <t>PS</t>
    </r>
  </si>
  <si>
    <t>[Liter]</t>
  </si>
  <si>
    <t>PS x V =</t>
  </si>
  <si>
    <t>Gefahrenpotential</t>
  </si>
  <si>
    <t>Sonderbestimmung</t>
  </si>
  <si>
    <t>nach Anlage 3.2. DGÜW - V</t>
  </si>
  <si>
    <t>Für Rohrleitungen ….</t>
  </si>
  <si>
    <r>
      <t xml:space="preserve">maximale Nennweite im Rohrleitungszug, </t>
    </r>
    <r>
      <rPr>
        <b/>
        <sz val="10"/>
        <rFont val="Arial"/>
        <family val="2"/>
      </rPr>
      <t>DN</t>
    </r>
  </si>
  <si>
    <t>PS x DN =</t>
  </si>
  <si>
    <t>nach § 4. (5) oder (6) DGÜW - V</t>
  </si>
  <si>
    <t>nach § 4. (10) oder (12) DGÜW - V</t>
  </si>
  <si>
    <t>nieder</t>
  </si>
  <si>
    <t>hoch</t>
  </si>
  <si>
    <t>Sonderbestimmungen</t>
  </si>
  <si>
    <t>2.2, Kleingewerbeanlagen</t>
  </si>
  <si>
    <t>2.3, Großgewerbeanlagen</t>
  </si>
  <si>
    <t>2.4, Industrieanlagen</t>
  </si>
  <si>
    <t>max. PSxV</t>
  </si>
  <si>
    <t>max. PSxDN</t>
  </si>
  <si>
    <t>Kunde :</t>
  </si>
  <si>
    <t>Anlage :</t>
  </si>
  <si>
    <t>I = Modul A</t>
  </si>
  <si>
    <t>interne Fertigungskontrolle</t>
  </si>
  <si>
    <t>IV = Modul B+F oder G</t>
  </si>
  <si>
    <r>
      <t>vorgeschlagener</t>
    </r>
    <r>
      <rPr>
        <sz val="10"/>
        <rFont val="Arial"/>
        <family val="2"/>
      </rPr>
      <t xml:space="preserve"> Fertigungsmodul</t>
    </r>
  </si>
  <si>
    <t>in Verantwortung des Betreibers z.B. durch Fachfirma</t>
  </si>
  <si>
    <t>erste Betriebsprüfung durch</t>
  </si>
  <si>
    <r>
      <t xml:space="preserve">Rohrleitungs - Kategorie und </t>
    </r>
    <r>
      <rPr>
        <i/>
        <sz val="10"/>
        <rFont val="Arial"/>
        <family val="2"/>
      </rPr>
      <t>vorgeschlagner</t>
    </r>
    <r>
      <rPr>
        <sz val="10"/>
        <rFont val="Arial"/>
        <family val="2"/>
      </rPr>
      <t xml:space="preserve"> Fertigungsmodul</t>
    </r>
  </si>
  <si>
    <t>Berufsgruppe Kälte - und Klimatechnik</t>
  </si>
  <si>
    <t>Für Behälter und Apparate ….</t>
  </si>
  <si>
    <r>
      <t xml:space="preserve">maximales Behälter - Apparatevolumen in der Baugruppe, </t>
    </r>
    <r>
      <rPr>
        <b/>
        <sz val="10"/>
        <rFont val="Arial"/>
        <family val="2"/>
      </rPr>
      <t>V</t>
    </r>
  </si>
  <si>
    <r>
      <t xml:space="preserve">Behälter / Apparate - Kategorie und </t>
    </r>
    <r>
      <rPr>
        <i/>
        <sz val="10"/>
        <rFont val="Arial"/>
        <family val="2"/>
      </rPr>
      <t>vorgeschlagner</t>
    </r>
    <r>
      <rPr>
        <sz val="10"/>
        <rFont val="Arial"/>
        <family val="2"/>
      </rPr>
      <t xml:space="preserve"> Fertigungsmodul</t>
    </r>
  </si>
  <si>
    <t>Kältemittel</t>
  </si>
  <si>
    <t>PS HD</t>
  </si>
  <si>
    <t>PS ND</t>
  </si>
  <si>
    <t>+65°C</t>
  </si>
  <si>
    <t>+40°C</t>
  </si>
  <si>
    <t>oder PS max. Verdichter</t>
  </si>
  <si>
    <t>entsprechend ca.</t>
  </si>
  <si>
    <t>vorgeschlagenes PS</t>
  </si>
  <si>
    <t>Vorschlag :</t>
  </si>
  <si>
    <t>Ergänzungsfeld 2</t>
  </si>
  <si>
    <t>Ergänzungsfeld 3</t>
  </si>
  <si>
    <t>Ergänzungsfeld 4</t>
  </si>
  <si>
    <t>1, brennbar oder giftig</t>
  </si>
  <si>
    <t>2, unbrennbar und ungiftig</t>
  </si>
  <si>
    <t>Auftrags-</t>
  </si>
  <si>
    <t>Nummer :</t>
  </si>
  <si>
    <t>Die "grauen" Felder sind Eingabe - bzw. Wahlfelder.</t>
  </si>
  <si>
    <t>Material</t>
  </si>
  <si>
    <t>Stahl, Ø nach ISO</t>
  </si>
  <si>
    <t>Kupfer, metrisch</t>
  </si>
  <si>
    <t>[mm]</t>
  </si>
  <si>
    <t>DN</t>
  </si>
  <si>
    <t>Kupfer</t>
  </si>
  <si>
    <t>Auswahl</t>
  </si>
  <si>
    <t>dazu DN</t>
  </si>
  <si>
    <t>6x1</t>
  </si>
  <si>
    <t>8x1</t>
  </si>
  <si>
    <t>10x1</t>
  </si>
  <si>
    <t>12x1</t>
  </si>
  <si>
    <t>15x1</t>
  </si>
  <si>
    <t>16x1</t>
  </si>
  <si>
    <t>22x1</t>
  </si>
  <si>
    <t>28x1,5</t>
  </si>
  <si>
    <t>35x1,5</t>
  </si>
  <si>
    <t>42x1,5</t>
  </si>
  <si>
    <t>54x2</t>
  </si>
  <si>
    <t>64x2</t>
  </si>
  <si>
    <t>108x2,5</t>
  </si>
  <si>
    <t>mögliche Festigkeit</t>
  </si>
  <si>
    <t>18x1</t>
  </si>
  <si>
    <t>17,2x2</t>
  </si>
  <si>
    <t>21,3x2</t>
  </si>
  <si>
    <t>26,9x2,3</t>
  </si>
  <si>
    <t>33,7x2,6</t>
  </si>
  <si>
    <t>42,4x2,6</t>
  </si>
  <si>
    <t>48,3x2,6</t>
  </si>
  <si>
    <t>76,1x2,9</t>
  </si>
  <si>
    <t>88,9x3,2</t>
  </si>
  <si>
    <t>57x2,9; 60,3x2,9</t>
  </si>
  <si>
    <t>108x3,6; 114,3x3,6</t>
  </si>
  <si>
    <t>133x4; 139,7x4</t>
  </si>
  <si>
    <t>159x4,5; 168,3x4,5</t>
  </si>
  <si>
    <t>219,1x5,9</t>
  </si>
  <si>
    <t>267x6,3</t>
  </si>
  <si>
    <t>298,5x7,1</t>
  </si>
  <si>
    <t>323,9x7,1</t>
  </si>
  <si>
    <t>355,6x8</t>
  </si>
  <si>
    <t>406,4x8,8</t>
  </si>
  <si>
    <t>zöllig</t>
  </si>
  <si>
    <t>15x1,5</t>
  </si>
  <si>
    <t>18x1,5</t>
  </si>
  <si>
    <t>23x1,5</t>
  </si>
  <si>
    <t>60,3x2</t>
  </si>
  <si>
    <t>70x2</t>
  </si>
  <si>
    <t>84x2</t>
  </si>
  <si>
    <t>104x2</t>
  </si>
  <si>
    <t>129x2</t>
  </si>
  <si>
    <t>156x3</t>
  </si>
  <si>
    <t>206x3</t>
  </si>
  <si>
    <t>323,9x3</t>
  </si>
  <si>
    <t>26,9x2</t>
  </si>
  <si>
    <t>33,7x2</t>
  </si>
  <si>
    <t>42,4x2</t>
  </si>
  <si>
    <t>48,3x2</t>
  </si>
  <si>
    <t>76,1x2</t>
  </si>
  <si>
    <t>88,9x2</t>
  </si>
  <si>
    <t>114,3x2</t>
  </si>
  <si>
    <t>139,7x2</t>
  </si>
  <si>
    <t>168,3x3</t>
  </si>
  <si>
    <t>219,1x3</t>
  </si>
  <si>
    <t>273x3</t>
  </si>
  <si>
    <t>356x3</t>
  </si>
  <si>
    <t>256x3</t>
  </si>
  <si>
    <t>306x3</t>
  </si>
  <si>
    <t>406x3</t>
  </si>
  <si>
    <t>17,2x1,6</t>
  </si>
  <si>
    <t>metrisch</t>
  </si>
  <si>
    <t>-----</t>
  </si>
  <si>
    <t>ungültig</t>
  </si>
  <si>
    <t>In   Zusammenarbeit dürfen wir Sie informieren über :</t>
  </si>
  <si>
    <t>Sicherheitshinweise :</t>
  </si>
  <si>
    <t>Sonderabmessungen, metrisch, z.B. 1.4301</t>
  </si>
  <si>
    <t>Sonderabmessungen, zöllig, z.B. 1.4301</t>
  </si>
  <si>
    <t>für 1.4301</t>
  </si>
  <si>
    <t>mögliche Festigkeit für 1.4301</t>
  </si>
  <si>
    <t>Alle möglichen Festigkeiten sind gerechnet bei +20°C.</t>
  </si>
  <si>
    <t>Sicherheitshinweis :</t>
  </si>
  <si>
    <t>Bei anderen Temperaturen kommen andere, geringere Werte heraus.</t>
  </si>
  <si>
    <t>Stahl St 35.8, Durchmesser nach ISO</t>
  </si>
  <si>
    <t>für St 35.8</t>
  </si>
  <si>
    <t>(54x1,5)</t>
  </si>
  <si>
    <t>(28x1)</t>
  </si>
  <si>
    <t>Rohrdurchmesser D x s</t>
  </si>
  <si>
    <t>für Kupferfitting</t>
  </si>
  <si>
    <t>2.1, Kleinanlagen</t>
  </si>
  <si>
    <t>max. DN oder</t>
  </si>
  <si>
    <t>PS x DN</t>
  </si>
  <si>
    <t>IST</t>
  </si>
  <si>
    <t>Grenzwerte</t>
  </si>
  <si>
    <t>gemäß</t>
  </si>
  <si>
    <t>CLP-VO (EG) Nr. 1272/2008</t>
  </si>
  <si>
    <t>Fluidgruppe :</t>
  </si>
  <si>
    <t>R-22</t>
  </si>
  <si>
    <t>R-32</t>
  </si>
  <si>
    <t>R-134a</t>
  </si>
  <si>
    <t>R-290, Propan</t>
  </si>
  <si>
    <t>R-1234yf</t>
  </si>
  <si>
    <t>R-1234ze(E)</t>
  </si>
  <si>
    <t>R-1270, Propylen</t>
  </si>
  <si>
    <t>R-717, NH3</t>
  </si>
  <si>
    <t>R-744, CO2, unterkritisch I</t>
  </si>
  <si>
    <t>R-404A</t>
  </si>
  <si>
    <t>R-407A</t>
  </si>
  <si>
    <t>R-407C</t>
  </si>
  <si>
    <t>R-407F</t>
  </si>
  <si>
    <t>R-410A</t>
  </si>
  <si>
    <t>R-448A</t>
  </si>
  <si>
    <t>R-449A</t>
  </si>
  <si>
    <t>R-450A</t>
  </si>
  <si>
    <t>R-507A</t>
  </si>
  <si>
    <t>R-513A</t>
  </si>
  <si>
    <t>R-744, CO2, unterkritisch II</t>
  </si>
  <si>
    <t>R-744, CO2, überkritisch</t>
  </si>
  <si>
    <t>§ 7. = z.B. Modul A</t>
  </si>
  <si>
    <t>Inspektionsstelle für die Betriebsphase gemäß § 19. Druckgerätegesetz</t>
  </si>
  <si>
    <t>nach DDGVO</t>
  </si>
  <si>
    <t>II = Modul A2</t>
  </si>
  <si>
    <t>III = Modul B+F oder G</t>
  </si>
  <si>
    <t>interne Fertigungskontrolle mit überwachten Druckgeräteprüfungen in unregelmäßigen Abständen</t>
  </si>
  <si>
    <t>(EU-Baumusterprüfung + Konformität m. d. Bauart a. d. Grundlage e. Prüfung d. Druckgeräte) oder (Konformität a. d. Grundlage e. Einzelprüfung)</t>
  </si>
  <si>
    <t>Diese Aufstellung soll das Kategorisieren nach DDGV und DGÜW - V erleichtern. Sie ersetzt nicht das sorgfältige Studium und sachgerechte Anwendung der zutreffenden Gesetze, Verordnungen und Normen. Es obliegt dem sachkundigen Konstrukteur entsprechend dem vorgesehenen Fluid und dem festgelegten PS, hinsichtlich der Festigkeit und der Materialbeständigkeit, die richtigen Materialien und Zusatzwerkstoffe auszuwählen. Diese Aufstellung ersetzt nicht die sachgerechte Festigkeitsberechnung. Insbesondere ist zu beachten, das Werkstoffe, Materialdicken und Formstücke samt dem ausgewählten Fügeverfahren, im eingebautem, verarbeiteten Zustand, für das vorgesehen Fluid und für das festgelegte PS, mit ausreichender Sicherheit geeignet sind.</t>
  </si>
  <si>
    <t>R-451A</t>
  </si>
  <si>
    <t>R-452B</t>
  </si>
  <si>
    <t>R-454C</t>
  </si>
  <si>
    <t>R-454B</t>
  </si>
  <si>
    <t>Sicherheitsklasse</t>
  </si>
  <si>
    <t>A1</t>
  </si>
  <si>
    <t>A2L</t>
  </si>
  <si>
    <t>A3</t>
  </si>
  <si>
    <t>B2L</t>
  </si>
  <si>
    <t>getrennt bestimmen</t>
  </si>
  <si>
    <t>Festigkeit</t>
  </si>
  <si>
    <t>Rm=300, durch Löten nicht weichgeglüht</t>
  </si>
  <si>
    <t>9,525x0,65</t>
  </si>
  <si>
    <t>12,70x0,85</t>
  </si>
  <si>
    <t>15,875x1,05</t>
  </si>
  <si>
    <t>19,05x1,30</t>
  </si>
  <si>
    <t>22,225x1,50</t>
  </si>
  <si>
    <t>28,575x1,90</t>
  </si>
  <si>
    <t>34,925x2,30</t>
  </si>
  <si>
    <t>41,275x2,70</t>
  </si>
  <si>
    <r>
      <t>für das K65-</t>
    </r>
    <r>
      <rPr>
        <u/>
        <sz val="10"/>
        <rFont val="Arial"/>
        <family val="2"/>
      </rPr>
      <t>Rohr</t>
    </r>
  </si>
  <si>
    <r>
      <rPr>
        <b/>
        <sz val="10"/>
        <rFont val="Arial"/>
        <family val="2"/>
      </rPr>
      <t>kein</t>
    </r>
    <r>
      <rPr>
        <sz val="10"/>
        <rFont val="Arial"/>
        <family val="2"/>
      </rPr>
      <t xml:space="preserve"> 3.1 Zeugnis</t>
    </r>
  </si>
  <si>
    <r>
      <rPr>
        <b/>
        <sz val="10"/>
        <rFont val="Arial"/>
        <family val="2"/>
      </rPr>
      <t>mit</t>
    </r>
    <r>
      <rPr>
        <sz val="10"/>
        <rFont val="Arial"/>
        <family val="2"/>
      </rPr>
      <t xml:space="preserve"> 3.1 Zeugnis</t>
    </r>
  </si>
  <si>
    <t>At 9,525x0,65</t>
  </si>
  <si>
    <t>At 12,70x0,85</t>
  </si>
  <si>
    <t>At 15,875x1,05</t>
  </si>
  <si>
    <t>At 19,05x1,30</t>
  </si>
  <si>
    <t>At 22,225x1,50</t>
  </si>
  <si>
    <t>At 28,575x1,90</t>
  </si>
  <si>
    <t>At 34,925x2,30</t>
  </si>
  <si>
    <t>At 41,275x2,70</t>
  </si>
  <si>
    <r>
      <t xml:space="preserve">CuFe2P-K65, zöllig, </t>
    </r>
    <r>
      <rPr>
        <u/>
        <sz val="10"/>
        <color indexed="22"/>
        <rFont val="Arial"/>
        <family val="2"/>
      </rPr>
      <t>kein</t>
    </r>
    <r>
      <rPr>
        <sz val="10"/>
        <color indexed="22"/>
        <rFont val="Arial"/>
        <family val="2"/>
      </rPr>
      <t xml:space="preserve"> 3.1 Abnahmeprüfzeugnis</t>
    </r>
  </si>
  <si>
    <r>
      <t xml:space="preserve">CuFe2P-K65, zöllig, </t>
    </r>
    <r>
      <rPr>
        <u/>
        <sz val="10"/>
        <color indexed="22"/>
        <rFont val="Arial"/>
        <family val="2"/>
      </rPr>
      <t>mit</t>
    </r>
    <r>
      <rPr>
        <sz val="10"/>
        <color indexed="22"/>
        <rFont val="Arial"/>
        <family val="2"/>
      </rPr>
      <t xml:space="preserve"> 3.1 Abnahmeprüfzeugnis</t>
    </r>
  </si>
  <si>
    <t>max. barü</t>
  </si>
  <si>
    <t>gemäß CLP-VO</t>
  </si>
  <si>
    <t>R-516A</t>
  </si>
  <si>
    <r>
      <t>Sicherheitsklasse</t>
    </r>
    <r>
      <rPr>
        <sz val="8"/>
        <rFont val="Arial"/>
        <family val="2"/>
      </rPr>
      <t xml:space="preserve"> </t>
    </r>
  </si>
  <si>
    <t>nach ISO 817</t>
  </si>
  <si>
    <t>R-515B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</si>
</sst>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0"/>
      <name val="Arial"/>
      <family val="2"/>
    </font>
    <font>
      <sz val="8"/>
      <name val="Arial"/>
      <family val="2"/>
    </font>
    <font>
      <b/>
      <sz val="10"/>
      <name val="Arial"/>
      <family val="2"/>
    </font>
    <font>
      <i/>
      <sz val="10"/>
      <name val="Arial"/>
      <family val="2"/>
    </font>
    <font>
      <sz val="10"/>
      <name val="Arial"/>
      <family val="2"/>
    </font>
    <font>
      <sz val="10"/>
      <color indexed="22"/>
      <name val="Arial"/>
      <family val="2"/>
    </font>
    <font>
      <sz val="8"/>
      <name val="Arial"/>
      <family val="2"/>
    </font>
    <font>
      <i/>
      <sz val="8"/>
      <name val="Arial"/>
      <family val="2"/>
    </font>
    <font>
      <sz val="10"/>
      <name val="Arial"/>
      <family val="2"/>
    </font>
    <font>
      <sz val="7"/>
      <name val="Arial"/>
      <family val="2"/>
    </font>
    <font>
      <b/>
      <sz val="10"/>
      <name val="Arial"/>
      <family val="2"/>
    </font>
    <font>
      <sz val="10"/>
      <color rgb="FF0000FF"/>
      <name val="Arial"/>
      <family val="2"/>
    </font>
    <font>
      <i/>
      <sz val="10"/>
      <name val="Arial"/>
      <family val="2"/>
    </font>
    <font>
      <sz val="11"/>
      <name val="Arial"/>
      <family val="2"/>
    </font>
    <font>
      <b/>
      <sz val="9"/>
      <name val="Arial"/>
      <family val="2"/>
    </font>
    <font>
      <sz val="10"/>
      <color theme="0" tint="-0.249977111117893"/>
      <name val="Arial"/>
      <family val="2"/>
    </font>
    <font>
      <b/>
      <sz val="9"/>
      <color indexed="10"/>
      <name val="Arial"/>
      <family val="2"/>
    </font>
    <font>
      <b/>
      <sz val="10"/>
      <color indexed="10"/>
      <name val="Arial"/>
      <family val="2"/>
    </font>
    <font>
      <i/>
      <sz val="8"/>
      <color indexed="22"/>
      <name val="Arial"/>
      <family val="2"/>
    </font>
    <font>
      <sz val="6"/>
      <color indexed="22"/>
      <name val="Arial"/>
      <family val="2"/>
    </font>
    <font>
      <u/>
      <sz val="10"/>
      <name val="Arial"/>
      <family val="2"/>
    </font>
    <font>
      <u/>
      <sz val="10"/>
      <color indexed="22"/>
      <name val="Arial"/>
      <family val="2"/>
    </font>
    <font>
      <b/>
      <sz val="10"/>
      <color rgb="FFFF0000"/>
      <name val="Arial"/>
      <family val="2"/>
    </font>
    <font>
      <sz val="8"/>
      <color rgb="FF0000FF"/>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FFFFCC"/>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200">
    <xf numFmtId="0" fontId="0" fillId="0" borderId="0" xfId="0"/>
    <xf numFmtId="0" fontId="5" fillId="0" borderId="0" xfId="0" applyFont="1"/>
    <xf numFmtId="0" fontId="5" fillId="0" borderId="0" xfId="0" applyFont="1" applyAlignment="1">
      <alignment horizontal="right"/>
    </xf>
    <xf numFmtId="0" fontId="6" fillId="0" borderId="0" xfId="0" applyFont="1"/>
    <xf numFmtId="0" fontId="6" fillId="0" borderId="0" xfId="0" applyFont="1" applyAlignment="1">
      <alignment horizontal="center"/>
    </xf>
    <xf numFmtId="0" fontId="5" fillId="0" borderId="0" xfId="0" applyFont="1" applyBorder="1" applyAlignment="1" applyProtection="1">
      <alignment horizontal="left" vertical="center" wrapText="1"/>
      <protection locked="0"/>
    </xf>
    <xf numFmtId="0" fontId="6" fillId="0" borderId="7" xfId="0" applyFont="1" applyBorder="1" applyAlignment="1">
      <alignment horizontal="right"/>
    </xf>
    <xf numFmtId="0" fontId="6" fillId="0" borderId="8" xfId="0" applyFont="1" applyBorder="1" applyAlignment="1">
      <alignment horizontal="right"/>
    </xf>
    <xf numFmtId="0" fontId="6" fillId="0" borderId="8" xfId="0" applyFont="1" applyBorder="1" applyAlignment="1">
      <alignment horizontal="center"/>
    </xf>
    <xf numFmtId="0" fontId="6" fillId="0" borderId="9" xfId="0"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7" fillId="0" borderId="20" xfId="0" applyFont="1" applyBorder="1" applyAlignment="1">
      <alignment horizontal="center"/>
    </xf>
    <xf numFmtId="0" fontId="5" fillId="0" borderId="0" xfId="0" quotePrefix="1" applyFont="1" applyBorder="1" applyAlignment="1">
      <alignment horizontal="center"/>
    </xf>
    <xf numFmtId="0" fontId="5" fillId="0" borderId="5" xfId="0" quotePrefix="1" applyFont="1" applyBorder="1" applyAlignment="1">
      <alignment horizontal="center"/>
    </xf>
    <xf numFmtId="0" fontId="6" fillId="0" borderId="11" xfId="0" applyFont="1" applyBorder="1" applyAlignment="1">
      <alignment horizontal="right"/>
    </xf>
    <xf numFmtId="0" fontId="6" fillId="0" borderId="0" xfId="0" applyFont="1" applyBorder="1" applyAlignment="1">
      <alignment horizontal="right"/>
    </xf>
    <xf numFmtId="0" fontId="6" fillId="0" borderId="0" xfId="0" applyFont="1" applyBorder="1" applyAlignment="1">
      <alignment horizontal="center"/>
    </xf>
    <xf numFmtId="0" fontId="6" fillId="0" borderId="10" xfId="0" applyFont="1" applyBorder="1" applyAlignment="1">
      <alignment horizontal="center"/>
    </xf>
    <xf numFmtId="0" fontId="6" fillId="0" borderId="5" xfId="0" applyFont="1" applyBorder="1" applyAlignment="1">
      <alignment horizontal="center"/>
    </xf>
    <xf numFmtId="0" fontId="6" fillId="0" borderId="11" xfId="0" applyFont="1" applyBorder="1" applyAlignment="1">
      <alignment horizontal="center"/>
    </xf>
    <xf numFmtId="0" fontId="7" fillId="0" borderId="5" xfId="0" applyFont="1" applyBorder="1" applyAlignment="1">
      <alignment horizontal="center"/>
    </xf>
    <xf numFmtId="0" fontId="5" fillId="0" borderId="0" xfId="0" applyFont="1" applyBorder="1"/>
    <xf numFmtId="0" fontId="8" fillId="0" borderId="0" xfId="0" applyFont="1" applyBorder="1" applyAlignment="1">
      <alignment horizontal="center"/>
    </xf>
    <xf numFmtId="0" fontId="5" fillId="0" borderId="1" xfId="0" applyFont="1" applyBorder="1" applyAlignment="1">
      <alignment horizontal="center"/>
    </xf>
    <xf numFmtId="0" fontId="9" fillId="0" borderId="16" xfId="0" applyFont="1" applyBorder="1" applyAlignment="1">
      <alignment horizontal="center"/>
    </xf>
    <xf numFmtId="0" fontId="5" fillId="0" borderId="3" xfId="0" applyFont="1" applyBorder="1" applyAlignment="1">
      <alignment horizontal="center"/>
    </xf>
    <xf numFmtId="0" fontId="5" fillId="0" borderId="17" xfId="0" applyFont="1" applyBorder="1" applyAlignment="1">
      <alignment horizontal="center"/>
    </xf>
    <xf numFmtId="0" fontId="5" fillId="0" borderId="17" xfId="0" applyFont="1" applyFill="1" applyBorder="1" applyAlignment="1"/>
    <xf numFmtId="0" fontId="5" fillId="0" borderId="20" xfId="0" applyFont="1" applyBorder="1"/>
    <xf numFmtId="0" fontId="5" fillId="0" borderId="7" xfId="0" applyFont="1" applyBorder="1"/>
    <xf numFmtId="0" fontId="5" fillId="0" borderId="8" xfId="0" applyFont="1" applyBorder="1"/>
    <xf numFmtId="0" fontId="5" fillId="0" borderId="9" xfId="0" applyFont="1" applyBorder="1"/>
    <xf numFmtId="0" fontId="5" fillId="0" borderId="19" xfId="0" applyFont="1" applyBorder="1" applyAlignment="1">
      <alignment horizontal="center"/>
    </xf>
    <xf numFmtId="0" fontId="9" fillId="0" borderId="18" xfId="0" applyFont="1" applyBorder="1" applyAlignment="1">
      <alignment horizontal="left"/>
    </xf>
    <xf numFmtId="0" fontId="5" fillId="2" borderId="18" xfId="0" applyFont="1" applyFill="1" applyBorder="1" applyAlignment="1" applyProtection="1">
      <alignment horizontal="center"/>
      <protection locked="0"/>
    </xf>
    <xf numFmtId="0" fontId="6" fillId="0" borderId="0" xfId="0" applyFont="1" applyAlignment="1">
      <alignment horizontal="right"/>
    </xf>
    <xf numFmtId="0" fontId="5" fillId="0" borderId="5" xfId="0" applyFont="1" applyBorder="1"/>
    <xf numFmtId="0" fontId="5" fillId="0" borderId="11" xfId="0" applyFont="1" applyBorder="1"/>
    <xf numFmtId="0" fontId="11" fillId="0" borderId="0" xfId="0" applyFont="1" applyBorder="1"/>
    <xf numFmtId="0" fontId="5" fillId="0" borderId="4" xfId="0" applyFont="1" applyBorder="1" applyAlignment="1">
      <alignment horizontal="center"/>
    </xf>
    <xf numFmtId="0" fontId="5" fillId="2" borderId="4" xfId="0" applyFont="1" applyFill="1" applyBorder="1" applyAlignment="1" applyProtection="1">
      <alignment horizontal="center"/>
      <protection locked="0"/>
    </xf>
    <xf numFmtId="0" fontId="5" fillId="0" borderId="10" xfId="0" applyFont="1" applyBorder="1"/>
    <xf numFmtId="0" fontId="9" fillId="0" borderId="18" xfId="0" applyFont="1" applyBorder="1" applyAlignment="1">
      <alignment horizontal="center"/>
    </xf>
    <xf numFmtId="0" fontId="6" fillId="0" borderId="12" xfId="0" applyFont="1" applyBorder="1" applyAlignment="1">
      <alignment horizontal="center"/>
    </xf>
    <xf numFmtId="0" fontId="6" fillId="0" borderId="4" xfId="0" applyFont="1" applyBorder="1" applyAlignment="1">
      <alignment horizontal="center"/>
    </xf>
    <xf numFmtId="0" fontId="6" fillId="0" borderId="13"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0" borderId="18" xfId="0" applyFont="1" applyBorder="1" applyAlignment="1">
      <alignment horizontal="center"/>
    </xf>
    <xf numFmtId="0" fontId="6" fillId="0" borderId="16" xfId="0" applyFont="1" applyBorder="1" applyAlignment="1">
      <alignment horizontal="center"/>
    </xf>
    <xf numFmtId="0" fontId="12" fillId="0" borderId="0" xfId="0" applyFont="1" applyBorder="1" applyAlignment="1">
      <alignment horizontal="right"/>
    </xf>
    <xf numFmtId="0" fontId="12" fillId="5" borderId="0" xfId="0" applyFont="1" applyFill="1" applyBorder="1" applyAlignment="1">
      <alignment horizontal="center"/>
    </xf>
    <xf numFmtId="0" fontId="5" fillId="0" borderId="18" xfId="0" applyFont="1" applyBorder="1" applyAlignment="1">
      <alignment horizontal="right"/>
    </xf>
    <xf numFmtId="0" fontId="6" fillId="0" borderId="10" xfId="0" applyFont="1" applyBorder="1" applyAlignment="1">
      <alignment horizontal="left"/>
    </xf>
    <xf numFmtId="0" fontId="6" fillId="0" borderId="0" xfId="0" applyFont="1" applyBorder="1" applyAlignment="1">
      <alignment horizontal="left"/>
    </xf>
    <xf numFmtId="0" fontId="5" fillId="0" borderId="12" xfId="0" applyFont="1" applyBorder="1"/>
    <xf numFmtId="0" fontId="5" fillId="0" borderId="4" xfId="0" applyFont="1" applyBorder="1"/>
    <xf numFmtId="0" fontId="5" fillId="0" borderId="4" xfId="0" applyFont="1" applyBorder="1" applyAlignment="1">
      <alignment horizontal="right"/>
    </xf>
    <xf numFmtId="0" fontId="5" fillId="0" borderId="0" xfId="0" quotePrefix="1" applyFont="1" applyAlignment="1">
      <alignment horizontal="center"/>
    </xf>
    <xf numFmtId="0" fontId="6" fillId="0" borderId="10" xfId="0" applyFont="1" applyBorder="1" applyAlignment="1"/>
    <xf numFmtId="0" fontId="6" fillId="0" borderId="0" xfId="0" applyFont="1" applyBorder="1" applyAlignment="1"/>
    <xf numFmtId="0" fontId="5" fillId="0" borderId="0" xfId="0" applyFont="1" applyBorder="1" applyAlignment="1">
      <alignment horizontal="right"/>
    </xf>
    <xf numFmtId="0" fontId="5" fillId="2" borderId="0" xfId="0" applyFont="1" applyFill="1" applyBorder="1" applyAlignment="1" applyProtection="1">
      <alignment horizontal="center"/>
      <protection locked="0"/>
    </xf>
    <xf numFmtId="0" fontId="5" fillId="4" borderId="16" xfId="0" applyFont="1" applyFill="1" applyBorder="1" applyAlignment="1">
      <alignment horizontal="center"/>
    </xf>
    <xf numFmtId="0" fontId="5" fillId="0" borderId="0" xfId="0" applyFont="1" applyAlignment="1">
      <alignment horizontal="center"/>
    </xf>
    <xf numFmtId="0" fontId="6" fillId="0" borderId="13" xfId="0" applyFont="1" applyBorder="1" applyAlignment="1"/>
    <xf numFmtId="0" fontId="5" fillId="0" borderId="1" xfId="0" applyFont="1" applyBorder="1"/>
    <xf numFmtId="0" fontId="5" fillId="0" borderId="2" xfId="0" applyFont="1" applyBorder="1"/>
    <xf numFmtId="0" fontId="5" fillId="0" borderId="2" xfId="0" applyFont="1" applyBorder="1" applyAlignment="1">
      <alignment horizontal="right"/>
    </xf>
    <xf numFmtId="0" fontId="11" fillId="3" borderId="2" xfId="0" applyFont="1" applyFill="1" applyBorder="1" applyAlignment="1">
      <alignment horizontal="center"/>
    </xf>
    <xf numFmtId="0" fontId="9" fillId="0" borderId="3" xfId="0" applyFont="1" applyBorder="1"/>
    <xf numFmtId="0" fontId="13" fillId="0" borderId="0" xfId="0" applyFont="1" applyBorder="1" applyAlignment="1">
      <alignment horizontal="right"/>
    </xf>
    <xf numFmtId="0" fontId="5" fillId="0" borderId="0" xfId="0" applyFont="1" applyAlignment="1"/>
    <xf numFmtId="0" fontId="6" fillId="0" borderId="0" xfId="0" applyFont="1" applyAlignment="1"/>
    <xf numFmtId="0" fontId="5" fillId="0" borderId="3" xfId="0" applyFont="1" applyBorder="1"/>
    <xf numFmtId="0" fontId="6" fillId="0" borderId="7" xfId="0" applyFont="1" applyFill="1" applyBorder="1" applyAlignment="1">
      <alignment horizontal="right"/>
    </xf>
    <xf numFmtId="0" fontId="6" fillId="0" borderId="8" xfId="0" applyFont="1" applyFill="1" applyBorder="1" applyAlignment="1">
      <alignment horizontal="right"/>
    </xf>
    <xf numFmtId="0" fontId="6" fillId="0" borderId="8" xfId="0" applyFont="1" applyFill="1" applyBorder="1" applyAlignment="1">
      <alignment horizontal="center"/>
    </xf>
    <xf numFmtId="0" fontId="6" fillId="0" borderId="9" xfId="0" applyFont="1" applyFill="1" applyBorder="1" applyAlignment="1">
      <alignment horizontal="center"/>
    </xf>
    <xf numFmtId="0" fontId="6" fillId="0" borderId="11" xfId="0" applyFont="1" applyFill="1" applyBorder="1" applyAlignment="1">
      <alignment horizontal="right"/>
    </xf>
    <xf numFmtId="0" fontId="6" fillId="0" borderId="0" xfId="0" applyFont="1" applyFill="1" applyBorder="1" applyAlignment="1">
      <alignment horizontal="right"/>
    </xf>
    <xf numFmtId="0" fontId="6" fillId="0" borderId="0" xfId="0" applyFont="1" applyFill="1" applyBorder="1" applyAlignment="1">
      <alignment horizontal="center"/>
    </xf>
    <xf numFmtId="0" fontId="6" fillId="0" borderId="10" xfId="0" applyFont="1" applyFill="1" applyBorder="1" applyAlignment="1">
      <alignment horizontal="center"/>
    </xf>
    <xf numFmtId="0" fontId="14" fillId="0" borderId="16" xfId="0" applyFont="1" applyBorder="1" applyAlignment="1">
      <alignment vertical="center" textRotation="90" wrapText="1"/>
    </xf>
    <xf numFmtId="0" fontId="6" fillId="0" borderId="11" xfId="0" applyFont="1" applyFill="1" applyBorder="1" applyAlignment="1">
      <alignment horizontal="center"/>
    </xf>
    <xf numFmtId="0" fontId="5" fillId="0" borderId="14" xfId="0" applyFont="1" applyBorder="1"/>
    <xf numFmtId="0" fontId="5" fillId="0" borderId="6" xfId="0" applyFont="1" applyBorder="1"/>
    <xf numFmtId="0" fontId="5" fillId="0" borderId="15" xfId="0" applyFont="1" applyBorder="1"/>
    <xf numFmtId="0" fontId="6" fillId="0" borderId="12" xfId="0" applyFont="1" applyFill="1" applyBorder="1" applyAlignment="1">
      <alignment horizontal="center"/>
    </xf>
    <xf numFmtId="0" fontId="6" fillId="0" borderId="4" xfId="0" applyFont="1" applyFill="1" applyBorder="1" applyAlignment="1">
      <alignment horizontal="center"/>
    </xf>
    <xf numFmtId="0" fontId="6" fillId="0" borderId="13" xfId="0" applyFont="1" applyFill="1" applyBorder="1" applyAlignment="1">
      <alignment horizontal="center"/>
    </xf>
    <xf numFmtId="0" fontId="6" fillId="0" borderId="1" xfId="0" applyFont="1" applyBorder="1" applyAlignment="1">
      <alignment horizontal="center"/>
    </xf>
    <xf numFmtId="0" fontId="16" fillId="0" borderId="0" xfId="0" applyFont="1" applyFill="1" applyAlignment="1">
      <alignment horizontal="right"/>
    </xf>
    <xf numFmtId="0" fontId="16" fillId="0" borderId="7" xfId="0" applyFont="1" applyFill="1" applyBorder="1"/>
    <xf numFmtId="0" fontId="16" fillId="0" borderId="9" xfId="0" applyFont="1" applyFill="1" applyBorder="1"/>
    <xf numFmtId="0" fontId="16" fillId="0" borderId="0" xfId="0" applyFont="1" applyFill="1"/>
    <xf numFmtId="0" fontId="16" fillId="0" borderId="11" xfId="0" applyFont="1" applyFill="1" applyBorder="1"/>
    <xf numFmtId="0" fontId="16" fillId="0" borderId="10" xfId="0" applyFont="1" applyFill="1" applyBorder="1"/>
    <xf numFmtId="0" fontId="16" fillId="0" borderId="12" xfId="0" applyFont="1" applyFill="1" applyBorder="1"/>
    <xf numFmtId="0" fontId="16" fillId="0" borderId="13" xfId="0" applyFont="1" applyFill="1" applyBorder="1"/>
    <xf numFmtId="0" fontId="16" fillId="0" borderId="0" xfId="0" applyFont="1" applyFill="1" applyBorder="1" applyAlignment="1">
      <alignment horizontal="right"/>
    </xf>
    <xf numFmtId="0" fontId="16" fillId="0" borderId="1" xfId="0" applyFont="1" applyFill="1" applyBorder="1"/>
    <xf numFmtId="0" fontId="16" fillId="0" borderId="3" xfId="0" applyFont="1" applyFill="1" applyBorder="1"/>
    <xf numFmtId="0" fontId="18" fillId="0" borderId="4" xfId="0" applyFont="1" applyBorder="1" applyAlignment="1">
      <alignment horizontal="right"/>
    </xf>
    <xf numFmtId="0" fontId="5" fillId="0" borderId="13" xfId="0" applyFont="1" applyBorder="1"/>
    <xf numFmtId="0" fontId="16" fillId="0" borderId="17" xfId="0" applyFont="1" applyFill="1" applyBorder="1"/>
    <xf numFmtId="0" fontId="16" fillId="0" borderId="29" xfId="0" applyFont="1" applyFill="1" applyBorder="1"/>
    <xf numFmtId="0" fontId="11" fillId="0" borderId="2" xfId="0" applyFont="1" applyBorder="1" applyAlignment="1">
      <alignment horizontal="right"/>
    </xf>
    <xf numFmtId="0" fontId="5" fillId="2" borderId="2"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16" fillId="0" borderId="18" xfId="0" applyFont="1" applyFill="1" applyBorder="1"/>
    <xf numFmtId="0" fontId="16" fillId="0" borderId="0" xfId="0" applyFont="1" applyFill="1" applyAlignment="1"/>
    <xf numFmtId="0" fontId="18" fillId="0" borderId="0" xfId="0" applyFont="1" applyBorder="1" applyAlignment="1">
      <alignment horizontal="center"/>
    </xf>
    <xf numFmtId="0" fontId="9" fillId="2" borderId="18" xfId="0" applyFont="1" applyFill="1" applyBorder="1" applyAlignment="1" applyProtection="1">
      <alignment horizontal="left"/>
      <protection locked="0"/>
    </xf>
    <xf numFmtId="0" fontId="16" fillId="0" borderId="28" xfId="0" applyFont="1" applyFill="1" applyBorder="1"/>
    <xf numFmtId="0" fontId="9" fillId="4" borderId="4" xfId="0" applyFont="1" applyFill="1" applyBorder="1" applyAlignment="1" applyProtection="1">
      <alignment horizontal="center"/>
    </xf>
    <xf numFmtId="0" fontId="5" fillId="2" borderId="18" xfId="0" applyFont="1" applyFill="1" applyBorder="1" applyAlignment="1" applyProtection="1">
      <protection locked="0"/>
    </xf>
    <xf numFmtId="0" fontId="5" fillId="0" borderId="10" xfId="0" applyFont="1" applyBorder="1" applyAlignment="1">
      <alignment textRotation="90"/>
    </xf>
    <xf numFmtId="0" fontId="9" fillId="2" borderId="16" xfId="0" applyFont="1" applyFill="1" applyBorder="1" applyAlignment="1" applyProtection="1">
      <alignment horizontal="left"/>
      <protection locked="0"/>
    </xf>
    <xf numFmtId="0" fontId="5" fillId="2" borderId="16" xfId="0" applyFont="1" applyFill="1" applyBorder="1" applyAlignment="1" applyProtection="1">
      <alignment horizontal="center"/>
      <protection locked="0"/>
    </xf>
    <xf numFmtId="0" fontId="5" fillId="2" borderId="16" xfId="0" applyFont="1" applyFill="1" applyBorder="1" applyAlignment="1" applyProtection="1">
      <protection locked="0"/>
    </xf>
    <xf numFmtId="0" fontId="8" fillId="0" borderId="0" xfId="0" applyFont="1" applyBorder="1" applyAlignment="1">
      <alignment horizontal="right"/>
    </xf>
    <xf numFmtId="0" fontId="5" fillId="0" borderId="0" xfId="0" applyFont="1" applyFill="1" applyBorder="1"/>
    <xf numFmtId="0" fontId="8" fillId="0" borderId="0" xfId="0" applyFont="1" applyFill="1" applyBorder="1" applyAlignment="1">
      <alignment horizontal="right"/>
    </xf>
    <xf numFmtId="0" fontId="16" fillId="0" borderId="30" xfId="0" applyFont="1" applyFill="1" applyBorder="1"/>
    <xf numFmtId="0" fontId="16" fillId="0" borderId="0" xfId="0" applyFont="1" applyFill="1" applyAlignment="1">
      <alignment horizontal="center"/>
    </xf>
    <xf numFmtId="0" fontId="16" fillId="0" borderId="0" xfId="0" applyFont="1" applyFill="1" applyBorder="1" applyAlignment="1"/>
    <xf numFmtId="0" fontId="19" fillId="0" borderId="0" xfId="0" applyFont="1" applyBorder="1" applyAlignment="1">
      <alignment horizontal="center"/>
    </xf>
    <xf numFmtId="0" fontId="8" fillId="0" borderId="20" xfId="0" applyFont="1" applyBorder="1" applyAlignment="1">
      <alignment horizontal="center"/>
    </xf>
    <xf numFmtId="0" fontId="16" fillId="0" borderId="10" xfId="0" applyFont="1" applyFill="1" applyBorder="1" applyAlignment="1"/>
    <xf numFmtId="0" fontId="8" fillId="0" borderId="5" xfId="0" applyFont="1" applyBorder="1" applyAlignment="1">
      <alignment horizontal="center"/>
    </xf>
    <xf numFmtId="0" fontId="8" fillId="0" borderId="16" xfId="0" applyFont="1" applyBorder="1" applyAlignment="1">
      <alignment horizontal="center"/>
    </xf>
    <xf numFmtId="0" fontId="20" fillId="0" borderId="0" xfId="0" applyFont="1" applyAlignment="1">
      <alignment horizontal="center"/>
    </xf>
    <xf numFmtId="0" fontId="20" fillId="0" borderId="0" xfId="0" applyFont="1" applyAlignment="1">
      <alignment horizontal="right"/>
    </xf>
    <xf numFmtId="0" fontId="5" fillId="0" borderId="5" xfId="0" applyFont="1" applyBorder="1" applyAlignment="1"/>
    <xf numFmtId="0" fontId="5" fillId="0" borderId="21" xfId="0" applyFont="1" applyBorder="1" applyAlignment="1"/>
    <xf numFmtId="0" fontId="5" fillId="0" borderId="0" xfId="0" applyFont="1" applyBorder="1" applyAlignment="1"/>
    <xf numFmtId="0" fontId="6" fillId="0" borderId="3" xfId="0" applyFont="1" applyBorder="1" applyAlignment="1">
      <alignment horizontal="center"/>
    </xf>
    <xf numFmtId="0" fontId="5" fillId="0" borderId="5" xfId="0" applyFont="1" applyBorder="1" applyAlignment="1">
      <alignment horizontal="center"/>
    </xf>
    <xf numFmtId="0" fontId="5" fillId="0" borderId="20" xfId="0" applyFont="1" applyFill="1" applyBorder="1" applyAlignment="1">
      <alignment horizontal="center"/>
    </xf>
    <xf numFmtId="0" fontId="5" fillId="0" borderId="22" xfId="0" applyFont="1" applyFill="1" applyBorder="1" applyAlignment="1">
      <alignment horizontal="center"/>
    </xf>
    <xf numFmtId="0" fontId="20" fillId="0" borderId="0" xfId="0" applyFont="1" applyAlignment="1"/>
    <xf numFmtId="0" fontId="5" fillId="2" borderId="23"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6" fillId="0" borderId="0" xfId="0" quotePrefix="1" applyFont="1" applyAlignment="1">
      <alignment horizontal="center"/>
    </xf>
    <xf numFmtId="0" fontId="20" fillId="0" borderId="0" xfId="0" quotePrefix="1" applyFont="1" applyAlignment="1">
      <alignment horizontal="center"/>
    </xf>
    <xf numFmtId="0" fontId="5" fillId="2" borderId="24" xfId="0" applyFont="1" applyFill="1" applyBorder="1" applyAlignment="1" applyProtection="1">
      <alignment horizontal="center"/>
      <protection locked="0"/>
    </xf>
    <xf numFmtId="0" fontId="20" fillId="0" borderId="0" xfId="0" quotePrefix="1" applyFont="1" applyAlignment="1">
      <alignment horizontal="left"/>
    </xf>
    <xf numFmtId="0" fontId="1" fillId="0" borderId="7" xfId="0" applyFont="1" applyBorder="1" applyAlignment="1"/>
    <xf numFmtId="0" fontId="1" fillId="0" borderId="11" xfId="0" applyFont="1" applyBorder="1" applyAlignment="1"/>
    <xf numFmtId="0" fontId="1" fillId="0" borderId="10" xfId="0" applyFont="1" applyBorder="1" applyAlignment="1">
      <alignment horizontal="center"/>
    </xf>
    <xf numFmtId="0" fontId="1" fillId="0" borderId="10" xfId="0" applyFont="1" applyBorder="1" applyAlignment="1"/>
    <xf numFmtId="0" fontId="1" fillId="0" borderId="13" xfId="0" applyFont="1" applyBorder="1" applyAlignment="1">
      <alignment horizontal="center"/>
    </xf>
    <xf numFmtId="0" fontId="1" fillId="0" borderId="10" xfId="0" applyFont="1" applyBorder="1" applyAlignment="1">
      <alignment horizontal="left"/>
    </xf>
    <xf numFmtId="0" fontId="1" fillId="0" borderId="13" xfId="0" applyFont="1" applyBorder="1" applyAlignment="1">
      <alignment horizontal="left"/>
    </xf>
    <xf numFmtId="0" fontId="23" fillId="0" borderId="11" xfId="0" applyFont="1" applyBorder="1"/>
    <xf numFmtId="0" fontId="6" fillId="0" borderId="12" xfId="0" applyFont="1" applyBorder="1" applyAlignment="1">
      <alignment horizontal="right"/>
    </xf>
    <xf numFmtId="0" fontId="2" fillId="0" borderId="0" xfId="0" applyFont="1" applyBorder="1"/>
    <xf numFmtId="0" fontId="1" fillId="2" borderId="18" xfId="0" applyFont="1" applyFill="1" applyBorder="1" applyAlignment="1" applyProtection="1">
      <alignment horizontal="right"/>
      <protection locked="0"/>
    </xf>
    <xf numFmtId="0" fontId="1" fillId="2" borderId="16" xfId="0" applyFont="1" applyFill="1" applyBorder="1" applyAlignment="1" applyProtection="1">
      <alignment horizontal="right"/>
      <protection locked="0"/>
    </xf>
    <xf numFmtId="0" fontId="1" fillId="0" borderId="31" xfId="0" applyFont="1" applyBorder="1" applyAlignment="1">
      <alignment horizontal="center"/>
    </xf>
    <xf numFmtId="0" fontId="24" fillId="0" borderId="0" xfId="0" applyFont="1" applyBorder="1"/>
    <xf numFmtId="0" fontId="9" fillId="0" borderId="31" xfId="0" applyFont="1" applyBorder="1" applyAlignment="1">
      <alignment horizontal="left"/>
    </xf>
    <xf numFmtId="0" fontId="5" fillId="0" borderId="4" xfId="0" applyFont="1" applyBorder="1" applyAlignment="1">
      <alignment horizontal="center"/>
    </xf>
    <xf numFmtId="0" fontId="5" fillId="0" borderId="13"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0" fontId="10" fillId="0" borderId="20"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16" xfId="0" applyFont="1" applyBorder="1" applyAlignment="1">
      <alignment horizontal="center" vertical="center" textRotation="90" wrapText="1"/>
    </xf>
    <xf numFmtId="0" fontId="7" fillId="0" borderId="10" xfId="0" applyFont="1" applyBorder="1" applyAlignment="1">
      <alignment vertical="center" textRotation="90"/>
    </xf>
    <xf numFmtId="0" fontId="7" fillId="0" borderId="13" xfId="0" applyFont="1" applyBorder="1" applyAlignment="1">
      <alignment vertical="center" textRotation="90"/>
    </xf>
    <xf numFmtId="0" fontId="5"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4"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15" xfId="0" applyFont="1" applyFill="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2" borderId="27"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17" fillId="0" borderId="20" xfId="0" applyFont="1" applyBorder="1" applyAlignment="1">
      <alignment vertical="center" textRotation="90"/>
    </xf>
    <xf numFmtId="0" fontId="18" fillId="0" borderId="5" xfId="0" applyFont="1" applyBorder="1" applyAlignment="1">
      <alignment vertical="center" textRotation="90"/>
    </xf>
    <xf numFmtId="0" fontId="18" fillId="0" borderId="16" xfId="0" applyFont="1" applyBorder="1" applyAlignment="1">
      <alignment vertical="center" textRotation="90"/>
    </xf>
    <xf numFmtId="0" fontId="7" fillId="4" borderId="0"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5" fillId="0" borderId="20" xfId="0" applyFont="1" applyBorder="1" applyAlignment="1">
      <alignment horizontal="center" vertical="center" textRotation="90" wrapText="1"/>
    </xf>
    <xf numFmtId="0" fontId="15" fillId="0" borderId="5" xfId="0" applyFont="1" applyBorder="1" applyAlignment="1">
      <alignment horizontal="center" vertical="center" textRotation="90" wrapText="1"/>
    </xf>
    <xf numFmtId="0" fontId="15" fillId="0" borderId="16" xfId="0" applyFont="1" applyBorder="1" applyAlignment="1">
      <alignment horizontal="center" vertical="center" textRotation="90" wrapText="1"/>
    </xf>
  </cellXfs>
  <cellStyles count="1">
    <cellStyle name="Standard"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31</xdr:row>
      <xdr:rowOff>70806</xdr:rowOff>
    </xdr:from>
    <xdr:to>
      <xdr:col>0</xdr:col>
      <xdr:colOff>481965</xdr:colOff>
      <xdr:row>39</xdr:row>
      <xdr:rowOff>45406</xdr:rowOff>
    </xdr:to>
    <xdr:pic>
      <xdr:nvPicPr>
        <xdr:cNvPr id="5" name="Grafik 4" descr="C:\Users\Seyfried\AppData\Local\Microsoft\Windows\Temporary Internet Files\Content.Word\G20-jpg.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367347" y="5612133"/>
          <a:ext cx="1277620" cy="421005"/>
        </a:xfrm>
        <a:prstGeom prst="rect">
          <a:avLst/>
        </a:prstGeom>
        <a:noFill/>
        <a:ln>
          <a:noFill/>
        </a:ln>
      </xdr:spPr>
    </xdr:pic>
    <xdr:clientData/>
  </xdr:twoCellAnchor>
  <xdr:twoCellAnchor editAs="oneCell">
    <xdr:from>
      <xdr:col>0</xdr:col>
      <xdr:colOff>41275</xdr:colOff>
      <xdr:row>7</xdr:row>
      <xdr:rowOff>103505</xdr:rowOff>
    </xdr:from>
    <xdr:to>
      <xdr:col>0</xdr:col>
      <xdr:colOff>635000</xdr:colOff>
      <xdr:row>20</xdr:row>
      <xdr:rowOff>124460</xdr:rowOff>
    </xdr:to>
    <xdr:pic>
      <xdr:nvPicPr>
        <xdr:cNvPr id="6" name="Grafik 5">
          <a:extLst>
            <a:ext uri="{FF2B5EF4-FFF2-40B4-BE49-F238E27FC236}">
              <a16:creationId xmlns:a16="http://schemas.microsoft.com/office/drawing/2014/main" id="{4086B2E7-2934-4175-AC6B-E2A0C160E9E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067" b="5020"/>
        <a:stretch/>
      </xdr:blipFill>
      <xdr:spPr bwMode="auto">
        <a:xfrm rot="16200000">
          <a:off x="-754380" y="2072640"/>
          <a:ext cx="2185035" cy="5937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2"/>
  <sheetViews>
    <sheetView showGridLines="0" tabSelected="1" topLeftCell="A7" zoomScaleNormal="100" workbookViewId="0">
      <selection activeCell="G10" sqref="G10"/>
    </sheetView>
  </sheetViews>
  <sheetFormatPr baseColWidth="10" defaultRowHeight="13.2" x14ac:dyDescent="0.25"/>
  <cols>
    <col min="1" max="1" width="9.6640625" style="1" customWidth="1"/>
    <col min="2" max="2" width="12.6640625" style="1" customWidth="1"/>
    <col min="3" max="6" width="11.5546875" style="1"/>
    <col min="7" max="7" width="25.6640625" style="1" customWidth="1"/>
    <col min="8" max="14" width="11.5546875" style="1"/>
    <col min="15" max="15" width="22.5546875" style="1" bestFit="1" customWidth="1"/>
    <col min="16" max="17" width="11.5546875" style="1"/>
    <col min="18" max="19" width="11.5546875" style="1" customWidth="1"/>
    <col min="20" max="23" width="11.5546875" style="1"/>
    <col min="24" max="24" width="22.5546875" style="1" bestFit="1" customWidth="1"/>
    <col min="25" max="25" width="101.5546875" style="1" bestFit="1" customWidth="1"/>
    <col min="26" max="26" width="19.33203125" style="1" bestFit="1" customWidth="1"/>
    <col min="27" max="27" width="11.5546875" style="1" customWidth="1"/>
    <col min="28" max="28" width="11.5546875" style="1"/>
    <col min="29" max="29" width="22.5546875" style="1" bestFit="1" customWidth="1"/>
    <col min="30" max="30" width="11.5546875" style="1" customWidth="1"/>
    <col min="31" max="16384" width="11.5546875" style="1"/>
  </cols>
  <sheetData>
    <row r="1" spans="1:31" x14ac:dyDescent="0.25">
      <c r="B1" s="2" t="s">
        <v>22</v>
      </c>
      <c r="C1" s="175"/>
      <c r="D1" s="176"/>
      <c r="E1" s="176"/>
      <c r="F1" s="176"/>
      <c r="G1" s="176"/>
      <c r="H1" s="176"/>
      <c r="I1" s="176"/>
      <c r="J1" s="177"/>
    </row>
    <row r="2" spans="1:31" ht="13.5" customHeight="1" thickBot="1" x14ac:dyDescent="0.3">
      <c r="C2" s="178"/>
      <c r="D2" s="179"/>
      <c r="E2" s="179"/>
      <c r="F2" s="179"/>
      <c r="G2" s="179"/>
      <c r="H2" s="179"/>
      <c r="I2" s="179"/>
      <c r="J2" s="180"/>
    </row>
    <row r="3" spans="1:31" ht="13.5" customHeight="1" thickTop="1" x14ac:dyDescent="0.25">
      <c r="B3" s="2" t="s">
        <v>23</v>
      </c>
      <c r="C3" s="181"/>
      <c r="D3" s="182"/>
      <c r="E3" s="182"/>
      <c r="F3" s="182"/>
      <c r="G3" s="182"/>
      <c r="H3" s="182"/>
      <c r="I3" s="182"/>
      <c r="J3" s="183"/>
      <c r="P3" s="166" t="s">
        <v>42</v>
      </c>
      <c r="Q3" s="167"/>
      <c r="U3" s="3"/>
      <c r="V3" s="3"/>
      <c r="W3" s="4" t="s">
        <v>20</v>
      </c>
      <c r="X3" s="4" t="s">
        <v>0</v>
      </c>
      <c r="Y3" s="3"/>
      <c r="Z3" s="3"/>
      <c r="AA3" s="3"/>
      <c r="AB3" s="4" t="s">
        <v>20</v>
      </c>
      <c r="AC3" s="3"/>
      <c r="AD3" s="3"/>
      <c r="AE3" s="4" t="s">
        <v>20</v>
      </c>
    </row>
    <row r="4" spans="1:31" ht="13.5" customHeight="1" thickBot="1" x14ac:dyDescent="0.3">
      <c r="C4" s="178"/>
      <c r="D4" s="179"/>
      <c r="E4" s="179"/>
      <c r="F4" s="179"/>
      <c r="G4" s="179"/>
      <c r="H4" s="179"/>
      <c r="I4" s="179"/>
      <c r="J4" s="180"/>
      <c r="K4" s="5"/>
      <c r="P4" s="168" t="s">
        <v>41</v>
      </c>
      <c r="Q4" s="169"/>
      <c r="U4" s="6" t="str">
        <f>$G$10</f>
        <v>1, brennbar oder giftig</v>
      </c>
      <c r="V4" s="7"/>
      <c r="W4" s="8">
        <f>IF($G$10=$O$9,AB4,AE4)</f>
        <v>25</v>
      </c>
      <c r="X4" s="9" t="s">
        <v>168</v>
      </c>
      <c r="Y4" s="10" t="s">
        <v>25</v>
      </c>
      <c r="Z4" s="11" t="s">
        <v>47</v>
      </c>
      <c r="AA4" s="8"/>
      <c r="AB4" s="8">
        <v>25</v>
      </c>
      <c r="AC4" s="11" t="s">
        <v>48</v>
      </c>
      <c r="AD4" s="8"/>
      <c r="AE4" s="9">
        <v>50</v>
      </c>
    </row>
    <row r="5" spans="1:31" ht="13.5" customHeight="1" thickTop="1" x14ac:dyDescent="0.25">
      <c r="B5" s="2" t="s">
        <v>49</v>
      </c>
      <c r="C5" s="181"/>
      <c r="D5" s="182"/>
      <c r="E5" s="182"/>
      <c r="F5" s="182"/>
      <c r="G5" s="182"/>
      <c r="H5" s="182"/>
      <c r="I5" s="182"/>
      <c r="J5" s="183"/>
      <c r="K5" s="5"/>
      <c r="O5" s="12" t="s">
        <v>144</v>
      </c>
      <c r="P5" s="13" t="s">
        <v>38</v>
      </c>
      <c r="Q5" s="14" t="s">
        <v>39</v>
      </c>
      <c r="U5" s="15" t="str">
        <f>$G$10</f>
        <v>1, brennbar oder giftig</v>
      </c>
      <c r="V5" s="16"/>
      <c r="W5" s="17">
        <f>IF($G$10=$O$9,AB5,AE5)</f>
        <v>50</v>
      </c>
      <c r="X5" s="18" t="s">
        <v>24</v>
      </c>
      <c r="Y5" s="19" t="s">
        <v>25</v>
      </c>
      <c r="Z5" s="20" t="s">
        <v>47</v>
      </c>
      <c r="AA5" s="17"/>
      <c r="AB5" s="17">
        <v>50</v>
      </c>
      <c r="AC5" s="20" t="s">
        <v>48</v>
      </c>
      <c r="AD5" s="17"/>
      <c r="AE5" s="18">
        <v>200</v>
      </c>
    </row>
    <row r="6" spans="1:31" x14ac:dyDescent="0.25">
      <c r="B6" s="2" t="s">
        <v>50</v>
      </c>
      <c r="C6" s="184"/>
      <c r="D6" s="185"/>
      <c r="E6" s="185"/>
      <c r="F6" s="185"/>
      <c r="G6" s="185"/>
      <c r="H6" s="185"/>
      <c r="I6" s="185"/>
      <c r="J6" s="186"/>
      <c r="O6" s="21" t="s">
        <v>145</v>
      </c>
      <c r="P6" s="164" t="s">
        <v>40</v>
      </c>
      <c r="Q6" s="165"/>
      <c r="U6" s="15" t="str">
        <f>$G$10</f>
        <v>1, brennbar oder giftig</v>
      </c>
      <c r="V6" s="16"/>
      <c r="W6" s="17">
        <f>IF(G10=$O$9,AB6,AE6)</f>
        <v>200</v>
      </c>
      <c r="X6" s="18" t="s">
        <v>171</v>
      </c>
      <c r="Y6" s="19" t="s">
        <v>173</v>
      </c>
      <c r="Z6" s="20" t="s">
        <v>47</v>
      </c>
      <c r="AA6" s="17"/>
      <c r="AB6" s="17">
        <v>200</v>
      </c>
      <c r="AC6" s="20" t="s">
        <v>48</v>
      </c>
      <c r="AD6" s="17"/>
      <c r="AE6" s="18">
        <v>1000</v>
      </c>
    </row>
    <row r="7" spans="1:31" x14ac:dyDescent="0.25">
      <c r="B7" s="22"/>
      <c r="C7" s="22"/>
      <c r="D7" s="22"/>
      <c r="E7" s="22"/>
      <c r="F7" s="22"/>
      <c r="G7" s="23" t="s">
        <v>51</v>
      </c>
      <c r="H7" s="22"/>
      <c r="I7" s="22"/>
      <c r="J7" s="22"/>
      <c r="K7" s="22"/>
      <c r="N7" s="24" t="s">
        <v>35</v>
      </c>
      <c r="O7" s="25" t="s">
        <v>146</v>
      </c>
      <c r="P7" s="26" t="s">
        <v>36</v>
      </c>
      <c r="Q7" s="27" t="s">
        <v>37</v>
      </c>
      <c r="R7" s="28" t="s">
        <v>180</v>
      </c>
      <c r="U7" s="15" t="str">
        <f>$G$10</f>
        <v>1, brennbar oder giftig</v>
      </c>
      <c r="V7" s="16"/>
      <c r="W7" s="17">
        <f>IF($G$10=$O$9,AB7,AE7)</f>
        <v>1000</v>
      </c>
      <c r="X7" s="18" t="s">
        <v>172</v>
      </c>
      <c r="Y7" s="19" t="s">
        <v>174</v>
      </c>
      <c r="Z7" s="20" t="s">
        <v>47</v>
      </c>
      <c r="AA7" s="17"/>
      <c r="AB7" s="17">
        <v>1000</v>
      </c>
      <c r="AC7" s="20" t="s">
        <v>48</v>
      </c>
      <c r="AD7" s="17"/>
      <c r="AE7" s="18">
        <v>3000</v>
      </c>
    </row>
    <row r="8" spans="1:31" x14ac:dyDescent="0.25">
      <c r="A8" s="29"/>
      <c r="B8" s="30"/>
      <c r="C8" s="31"/>
      <c r="D8" s="31"/>
      <c r="E8" s="31"/>
      <c r="F8" s="31"/>
      <c r="G8" s="31"/>
      <c r="H8" s="31"/>
      <c r="I8" s="31"/>
      <c r="J8" s="31"/>
      <c r="K8" s="32"/>
      <c r="L8" s="170" t="s">
        <v>175</v>
      </c>
      <c r="N8" s="33" t="s">
        <v>147</v>
      </c>
      <c r="O8" s="34" t="s">
        <v>48</v>
      </c>
      <c r="P8" s="35">
        <v>26</v>
      </c>
      <c r="Q8" s="35">
        <v>16</v>
      </c>
      <c r="R8" s="34" t="s">
        <v>181</v>
      </c>
      <c r="T8" s="36" t="s">
        <v>6</v>
      </c>
      <c r="U8" s="20"/>
      <c r="V8" s="17"/>
      <c r="W8" s="17"/>
      <c r="X8" s="18" t="s">
        <v>26</v>
      </c>
      <c r="Y8" s="19" t="s">
        <v>174</v>
      </c>
      <c r="Z8" s="20"/>
      <c r="AA8" s="17"/>
      <c r="AB8" s="17"/>
      <c r="AC8" s="20"/>
      <c r="AD8" s="17"/>
      <c r="AE8" s="18"/>
    </row>
    <row r="9" spans="1:31" x14ac:dyDescent="0.25">
      <c r="A9" s="37"/>
      <c r="B9" s="38"/>
      <c r="C9" s="39" t="s">
        <v>32</v>
      </c>
      <c r="D9" s="22"/>
      <c r="E9" s="22"/>
      <c r="F9" s="40" t="s">
        <v>35</v>
      </c>
      <c r="G9" s="41" t="s">
        <v>178</v>
      </c>
      <c r="H9" s="22"/>
      <c r="I9" s="22"/>
      <c r="J9" s="22"/>
      <c r="K9" s="42"/>
      <c r="L9" s="171"/>
      <c r="N9" s="43" t="s">
        <v>148</v>
      </c>
      <c r="O9" s="34" t="s">
        <v>47</v>
      </c>
      <c r="P9" s="35">
        <v>43</v>
      </c>
      <c r="Q9" s="35">
        <v>24</v>
      </c>
      <c r="R9" s="34" t="s">
        <v>182</v>
      </c>
      <c r="U9" s="15" t="str">
        <f>$G$10</f>
        <v>1, brennbar oder giftig</v>
      </c>
      <c r="V9" s="16"/>
      <c r="W9" s="17">
        <f>IF($G$10=$O$9,AB9,AE9)</f>
        <v>300</v>
      </c>
      <c r="X9" s="18" t="s">
        <v>14</v>
      </c>
      <c r="Y9" s="10" t="s">
        <v>28</v>
      </c>
      <c r="Z9" s="44" t="s">
        <v>47</v>
      </c>
      <c r="AA9" s="45"/>
      <c r="AB9" s="45">
        <v>300</v>
      </c>
      <c r="AC9" s="44" t="s">
        <v>48</v>
      </c>
      <c r="AD9" s="45"/>
      <c r="AE9" s="46">
        <v>1000</v>
      </c>
    </row>
    <row r="10" spans="1:31" x14ac:dyDescent="0.25">
      <c r="A10" s="37"/>
      <c r="B10" s="38"/>
      <c r="D10" s="22"/>
      <c r="E10" s="22"/>
      <c r="F10" s="47" t="s">
        <v>1</v>
      </c>
      <c r="G10" s="48" t="str">
        <f>VLOOKUP(G9,$N$8:$O$37,2,0)</f>
        <v>1, brennbar oder giftig</v>
      </c>
      <c r="H10" s="158" t="s">
        <v>210</v>
      </c>
      <c r="I10" s="22"/>
      <c r="J10" s="22"/>
      <c r="K10" s="42"/>
      <c r="L10" s="171"/>
      <c r="N10" s="49" t="s">
        <v>149</v>
      </c>
      <c r="O10" s="34" t="s">
        <v>48</v>
      </c>
      <c r="P10" s="35">
        <v>18</v>
      </c>
      <c r="Q10" s="35">
        <v>10</v>
      </c>
      <c r="R10" s="34" t="s">
        <v>181</v>
      </c>
      <c r="U10" s="20"/>
      <c r="V10" s="17"/>
      <c r="W10" s="17"/>
      <c r="X10" s="18" t="s">
        <v>15</v>
      </c>
      <c r="Y10" s="50" t="s">
        <v>169</v>
      </c>
      <c r="Z10" s="17"/>
      <c r="AA10" s="17"/>
      <c r="AB10" s="17"/>
      <c r="AC10" s="17"/>
      <c r="AD10" s="17"/>
      <c r="AE10" s="17"/>
    </row>
    <row r="11" spans="1:31" x14ac:dyDescent="0.25">
      <c r="A11" s="37"/>
      <c r="B11" s="38"/>
      <c r="C11" s="22"/>
      <c r="D11" s="22"/>
      <c r="E11" s="22"/>
      <c r="F11" s="51" t="s">
        <v>212</v>
      </c>
      <c r="G11" s="52" t="str">
        <f>VLOOKUP(G9,$N$8:$R$37,5,0)</f>
        <v>A2L</v>
      </c>
      <c r="H11" s="162" t="s">
        <v>213</v>
      </c>
      <c r="I11" s="166" t="s">
        <v>43</v>
      </c>
      <c r="J11" s="167"/>
      <c r="K11" s="42"/>
      <c r="L11" s="171"/>
      <c r="N11" s="53" t="s">
        <v>150</v>
      </c>
      <c r="O11" s="34" t="s">
        <v>47</v>
      </c>
      <c r="P11" s="35">
        <v>23</v>
      </c>
      <c r="Q11" s="35">
        <v>13</v>
      </c>
      <c r="R11" s="34" t="s">
        <v>183</v>
      </c>
      <c r="T11" s="36" t="s">
        <v>16</v>
      </c>
      <c r="U11" s="20"/>
      <c r="V11" s="17"/>
      <c r="W11" s="17">
        <v>700</v>
      </c>
      <c r="X11" s="54" t="s">
        <v>139</v>
      </c>
      <c r="Y11" s="55"/>
      <c r="Z11" s="3"/>
      <c r="AA11" s="3"/>
      <c r="AB11" s="3"/>
      <c r="AC11" s="3"/>
      <c r="AD11" s="3"/>
      <c r="AE11" s="3"/>
    </row>
    <row r="12" spans="1:31" x14ac:dyDescent="0.25">
      <c r="A12" s="37"/>
      <c r="B12" s="56"/>
      <c r="C12" s="57"/>
      <c r="D12" s="57"/>
      <c r="E12" s="57"/>
      <c r="F12" s="58" t="s">
        <v>33</v>
      </c>
      <c r="G12" s="41">
        <v>10</v>
      </c>
      <c r="H12" s="57" t="s">
        <v>4</v>
      </c>
      <c r="I12" s="33" t="s">
        <v>36</v>
      </c>
      <c r="J12" s="33" t="s">
        <v>37</v>
      </c>
      <c r="K12" s="42"/>
      <c r="L12" s="171"/>
      <c r="N12" s="43" t="s">
        <v>151</v>
      </c>
      <c r="O12" s="34" t="s">
        <v>47</v>
      </c>
      <c r="P12" s="35">
        <v>18</v>
      </c>
      <c r="Q12" s="35">
        <v>10</v>
      </c>
      <c r="R12" s="34" t="s">
        <v>182</v>
      </c>
      <c r="S12" s="59"/>
      <c r="U12" s="20"/>
      <c r="V12" s="17"/>
      <c r="W12" s="17">
        <v>3000</v>
      </c>
      <c r="X12" s="60" t="s">
        <v>17</v>
      </c>
      <c r="Y12" s="61"/>
      <c r="Z12" s="3"/>
      <c r="AA12" s="3"/>
      <c r="AB12" s="3"/>
      <c r="AC12" s="3"/>
      <c r="AD12" s="3"/>
      <c r="AE12" s="3"/>
    </row>
    <row r="13" spans="1:31" x14ac:dyDescent="0.25">
      <c r="A13" s="37"/>
      <c r="B13" s="38"/>
      <c r="C13" s="22"/>
      <c r="D13" s="22"/>
      <c r="E13" s="22"/>
      <c r="F13" s="62" t="s">
        <v>3</v>
      </c>
      <c r="G13" s="63">
        <v>28</v>
      </c>
      <c r="H13" s="22" t="s">
        <v>2</v>
      </c>
      <c r="I13" s="64">
        <f>VLOOKUP(G9,$N$8:$P$37,3,0)</f>
        <v>28</v>
      </c>
      <c r="J13" s="64">
        <f>VLOOKUP(G9,$N$8:$Q$37,4,0)</f>
        <v>16</v>
      </c>
      <c r="K13" s="42"/>
      <c r="L13" s="171"/>
      <c r="N13" s="43" t="s">
        <v>152</v>
      </c>
      <c r="O13" s="34" t="s">
        <v>48</v>
      </c>
      <c r="P13" s="35">
        <v>14</v>
      </c>
      <c r="Q13" s="35">
        <v>7</v>
      </c>
      <c r="R13" s="34" t="s">
        <v>182</v>
      </c>
      <c r="U13" s="20"/>
      <c r="V13" s="17"/>
      <c r="W13" s="17">
        <v>6000</v>
      </c>
      <c r="X13" s="60" t="s">
        <v>18</v>
      </c>
      <c r="Y13" s="61"/>
      <c r="Z13" s="3"/>
      <c r="AA13" s="3"/>
      <c r="AB13" s="3"/>
      <c r="AC13" s="3"/>
      <c r="AD13" s="3"/>
      <c r="AE13" s="3"/>
    </row>
    <row r="14" spans="1:31" x14ac:dyDescent="0.25">
      <c r="A14" s="37"/>
      <c r="B14" s="38"/>
      <c r="C14" s="22"/>
      <c r="D14" s="22"/>
      <c r="E14" s="22"/>
      <c r="F14" s="22"/>
      <c r="G14" s="22"/>
      <c r="H14" s="22"/>
      <c r="I14" s="22"/>
      <c r="J14" s="22"/>
      <c r="K14" s="42"/>
      <c r="L14" s="171"/>
      <c r="N14" s="53" t="s">
        <v>153</v>
      </c>
      <c r="O14" s="34" t="s">
        <v>47</v>
      </c>
      <c r="P14" s="35">
        <v>28</v>
      </c>
      <c r="Q14" s="35">
        <v>17</v>
      </c>
      <c r="R14" s="34" t="s">
        <v>183</v>
      </c>
      <c r="S14" s="65"/>
      <c r="U14" s="44"/>
      <c r="V14" s="45"/>
      <c r="W14" s="45"/>
      <c r="X14" s="66" t="s">
        <v>19</v>
      </c>
      <c r="Y14" s="61"/>
      <c r="Z14" s="3"/>
      <c r="AA14" s="3"/>
      <c r="AB14" s="3"/>
      <c r="AC14" s="3"/>
      <c r="AD14" s="3"/>
      <c r="AE14" s="3"/>
    </row>
    <row r="15" spans="1:31" x14ac:dyDescent="0.25">
      <c r="A15" s="37"/>
      <c r="B15" s="38"/>
      <c r="C15" s="22"/>
      <c r="D15" s="22"/>
      <c r="E15" s="22"/>
      <c r="F15" s="62" t="s">
        <v>5</v>
      </c>
      <c r="G15" s="48">
        <f>G12*G13</f>
        <v>280</v>
      </c>
      <c r="H15" s="22"/>
      <c r="I15" s="22"/>
      <c r="J15" s="22"/>
      <c r="K15" s="42"/>
      <c r="L15" s="171"/>
      <c r="N15" s="49" t="s">
        <v>154</v>
      </c>
      <c r="O15" s="34" t="s">
        <v>47</v>
      </c>
      <c r="P15" s="35">
        <v>25</v>
      </c>
      <c r="Q15" s="35">
        <v>16</v>
      </c>
      <c r="R15" s="34" t="s">
        <v>184</v>
      </c>
      <c r="S15" s="65"/>
      <c r="U15" s="3"/>
      <c r="V15" s="3"/>
      <c r="W15" s="3"/>
      <c r="X15" s="3"/>
      <c r="Y15" s="3"/>
      <c r="Z15" s="3"/>
      <c r="AA15" s="3"/>
      <c r="AB15" s="3"/>
      <c r="AC15" s="3"/>
      <c r="AD15" s="3"/>
      <c r="AE15" s="3"/>
    </row>
    <row r="16" spans="1:31" x14ac:dyDescent="0.25">
      <c r="A16" s="37"/>
      <c r="B16" s="67"/>
      <c r="C16" s="68"/>
      <c r="D16" s="68"/>
      <c r="E16" s="68"/>
      <c r="F16" s="69" t="s">
        <v>34</v>
      </c>
      <c r="G16" s="70" t="str">
        <f>IF(G15&lt;=W4,X4,IF(G15&lt;=W5,X5,IF(G15&lt;=W6,X6,IF(G15&lt;=W7,X7,X8))))</f>
        <v>III = Modul B+F oder G</v>
      </c>
      <c r="H16" s="71" t="s">
        <v>170</v>
      </c>
      <c r="I16" s="22"/>
      <c r="J16" s="22"/>
      <c r="K16" s="42"/>
      <c r="L16" s="171"/>
      <c r="N16" s="53" t="s">
        <v>155</v>
      </c>
      <c r="O16" s="34" t="s">
        <v>48</v>
      </c>
      <c r="P16" s="35">
        <v>40</v>
      </c>
      <c r="Q16" s="35">
        <v>25</v>
      </c>
      <c r="R16" s="34" t="s">
        <v>181</v>
      </c>
      <c r="S16" s="65"/>
      <c r="U16" s="3"/>
      <c r="V16" s="3"/>
      <c r="W16" s="3"/>
      <c r="X16" s="3"/>
      <c r="Y16" s="3"/>
      <c r="Z16" s="3"/>
      <c r="AA16" s="3"/>
      <c r="AB16" s="3"/>
      <c r="AC16" s="3"/>
      <c r="AD16" s="3"/>
      <c r="AE16" s="3"/>
    </row>
    <row r="17" spans="1:31" ht="12.75" customHeight="1" x14ac:dyDescent="0.25">
      <c r="A17" s="37"/>
      <c r="B17" s="38"/>
      <c r="C17" s="22"/>
      <c r="D17" s="22"/>
      <c r="E17" s="72" t="s">
        <v>27</v>
      </c>
      <c r="F17" s="190" t="str">
        <f>VLOOKUP(G16,X4:Y8,2,0)</f>
        <v>(EU-Baumusterprüfung + Konformität m. d. Bauart a. d. Grundlage e. Prüfung d. Druckgeräte) oder (Konformität a. d. Grundlage e. Einzelprüfung)</v>
      </c>
      <c r="G17" s="190"/>
      <c r="H17" s="190"/>
      <c r="I17" s="22"/>
      <c r="J17" s="22"/>
      <c r="K17" s="42"/>
      <c r="L17" s="171"/>
      <c r="N17" s="53" t="s">
        <v>166</v>
      </c>
      <c r="O17" s="34" t="s">
        <v>48</v>
      </c>
      <c r="P17" s="35">
        <v>60</v>
      </c>
      <c r="Q17" s="35">
        <v>40</v>
      </c>
      <c r="R17" s="34" t="s">
        <v>181</v>
      </c>
      <c r="S17" s="65"/>
      <c r="T17" s="73"/>
      <c r="U17" s="74"/>
      <c r="V17" s="74"/>
      <c r="W17" s="3"/>
      <c r="X17" s="3"/>
      <c r="Y17" s="3"/>
      <c r="Z17" s="3"/>
      <c r="AA17" s="3"/>
      <c r="AB17" s="3"/>
      <c r="AC17" s="3"/>
      <c r="AD17" s="3"/>
      <c r="AE17" s="3"/>
    </row>
    <row r="18" spans="1:31" x14ac:dyDescent="0.25">
      <c r="A18" s="37"/>
      <c r="B18" s="38"/>
      <c r="C18" s="22"/>
      <c r="D18" s="22"/>
      <c r="E18" s="22"/>
      <c r="F18" s="191"/>
      <c r="G18" s="191"/>
      <c r="H18" s="191"/>
      <c r="I18" s="22"/>
      <c r="J18" s="22"/>
      <c r="K18" s="42"/>
      <c r="L18" s="171"/>
      <c r="N18" s="53" t="s">
        <v>167</v>
      </c>
      <c r="O18" s="34" t="s">
        <v>48</v>
      </c>
      <c r="P18" s="35">
        <v>110</v>
      </c>
      <c r="Q18" s="35">
        <v>50</v>
      </c>
      <c r="R18" s="34" t="s">
        <v>181</v>
      </c>
      <c r="S18" s="65"/>
      <c r="T18" s="73"/>
      <c r="U18" s="74"/>
      <c r="V18" s="4" t="s">
        <v>140</v>
      </c>
      <c r="W18" s="4" t="s">
        <v>21</v>
      </c>
      <c r="X18" s="4" t="s">
        <v>0</v>
      </c>
      <c r="Y18" s="3"/>
      <c r="Z18" s="3"/>
      <c r="AA18" s="4" t="s">
        <v>140</v>
      </c>
      <c r="AB18" s="4" t="s">
        <v>21</v>
      </c>
      <c r="AC18" s="3"/>
      <c r="AD18" s="4" t="s">
        <v>140</v>
      </c>
      <c r="AE18" s="4" t="s">
        <v>21</v>
      </c>
    </row>
    <row r="19" spans="1:31" x14ac:dyDescent="0.25">
      <c r="A19" s="37"/>
      <c r="B19" s="38"/>
      <c r="C19" s="22"/>
      <c r="D19" s="22"/>
      <c r="E19" s="67"/>
      <c r="F19" s="69" t="s">
        <v>6</v>
      </c>
      <c r="G19" s="70" t="str">
        <f>IF(G15&lt;=W9,X9,X10)</f>
        <v>nieder</v>
      </c>
      <c r="H19" s="68" t="s">
        <v>12</v>
      </c>
      <c r="I19" s="68"/>
      <c r="J19" s="75"/>
      <c r="K19" s="42"/>
      <c r="L19" s="171"/>
      <c r="N19" s="49" t="s">
        <v>156</v>
      </c>
      <c r="O19" s="34" t="s">
        <v>48</v>
      </c>
      <c r="P19" s="35">
        <v>28</v>
      </c>
      <c r="Q19" s="35">
        <v>18</v>
      </c>
      <c r="R19" s="34" t="s">
        <v>181</v>
      </c>
      <c r="S19" s="65"/>
      <c r="U19" s="76" t="str">
        <f>$G$27</f>
        <v>1, brennbar oder giftig</v>
      </c>
      <c r="V19" s="77"/>
      <c r="W19" s="78">
        <f>IF($G$27=$O$10,AB19,AE19)</f>
        <v>1000</v>
      </c>
      <c r="X19" s="79" t="s">
        <v>168</v>
      </c>
      <c r="Y19" s="10" t="s">
        <v>25</v>
      </c>
      <c r="Z19" s="11" t="s">
        <v>47</v>
      </c>
      <c r="AA19" s="8">
        <v>25</v>
      </c>
      <c r="AB19" s="9"/>
      <c r="AC19" s="11" t="s">
        <v>48</v>
      </c>
      <c r="AD19" s="8">
        <v>32</v>
      </c>
      <c r="AE19" s="9">
        <v>1000</v>
      </c>
    </row>
    <row r="20" spans="1:31" ht="12.75" customHeight="1" x14ac:dyDescent="0.25">
      <c r="A20" s="37"/>
      <c r="B20" s="38"/>
      <c r="C20" s="22"/>
      <c r="D20" s="22"/>
      <c r="E20" s="62" t="s">
        <v>29</v>
      </c>
      <c r="F20" s="193" t="str">
        <f>VLOOKUP(G19,X9:Y10,2,0)</f>
        <v>in Verantwortung des Betreibers z.B. durch Fachfirma</v>
      </c>
      <c r="G20" s="193"/>
      <c r="H20" s="193"/>
      <c r="I20" s="22"/>
      <c r="J20" s="22"/>
      <c r="K20" s="42"/>
      <c r="L20" s="171"/>
      <c r="N20" s="49" t="s">
        <v>157</v>
      </c>
      <c r="O20" s="34" t="s">
        <v>48</v>
      </c>
      <c r="P20" s="35">
        <v>28</v>
      </c>
      <c r="Q20" s="35">
        <v>18</v>
      </c>
      <c r="R20" s="34" t="s">
        <v>181</v>
      </c>
      <c r="S20" s="65"/>
      <c r="U20" s="80" t="str">
        <f>$G$27</f>
        <v>1, brennbar oder giftig</v>
      </c>
      <c r="V20" s="81"/>
      <c r="W20" s="82">
        <f>IF($G$27=$O$10,AB20,AE20)</f>
        <v>3500</v>
      </c>
      <c r="X20" s="83" t="s">
        <v>24</v>
      </c>
      <c r="Y20" s="19" t="s">
        <v>25</v>
      </c>
      <c r="Z20" s="20" t="s">
        <v>47</v>
      </c>
      <c r="AA20" s="17">
        <v>100</v>
      </c>
      <c r="AB20" s="18">
        <v>1000</v>
      </c>
      <c r="AC20" s="20" t="s">
        <v>48</v>
      </c>
      <c r="AD20" s="17">
        <v>100</v>
      </c>
      <c r="AE20" s="18">
        <v>3500</v>
      </c>
    </row>
    <row r="21" spans="1:31" ht="12.75" customHeight="1" x14ac:dyDescent="0.25">
      <c r="A21" s="84"/>
      <c r="B21" s="38"/>
      <c r="C21" s="22"/>
      <c r="D21" s="22"/>
      <c r="E21" s="22"/>
      <c r="F21" s="192"/>
      <c r="G21" s="192"/>
      <c r="H21" s="192"/>
      <c r="I21" s="22"/>
      <c r="J21" s="22"/>
      <c r="K21" s="42"/>
      <c r="L21" s="171"/>
      <c r="N21" s="49" t="s">
        <v>158</v>
      </c>
      <c r="O21" s="34" t="s">
        <v>48</v>
      </c>
      <c r="P21" s="35">
        <v>28</v>
      </c>
      <c r="Q21" s="35">
        <v>17</v>
      </c>
      <c r="R21" s="34" t="s">
        <v>181</v>
      </c>
      <c r="S21" s="65"/>
      <c r="U21" s="80" t="str">
        <f>$G$27</f>
        <v>1, brennbar oder giftig</v>
      </c>
      <c r="V21" s="81"/>
      <c r="W21" s="82">
        <f>IF($G$27=$O$10,AB21,AE21)</f>
        <v>5000</v>
      </c>
      <c r="X21" s="83" t="s">
        <v>171</v>
      </c>
      <c r="Y21" s="19" t="s">
        <v>173</v>
      </c>
      <c r="Z21" s="20" t="s">
        <v>47</v>
      </c>
      <c r="AA21" s="17">
        <v>100</v>
      </c>
      <c r="AB21" s="18">
        <v>3500</v>
      </c>
      <c r="AC21" s="20" t="s">
        <v>48</v>
      </c>
      <c r="AD21" s="17">
        <v>250</v>
      </c>
      <c r="AE21" s="18">
        <v>5000</v>
      </c>
    </row>
    <row r="22" spans="1:31" ht="12.75" customHeight="1" x14ac:dyDescent="0.25">
      <c r="A22" s="197" t="s">
        <v>124</v>
      </c>
      <c r="B22" s="38"/>
      <c r="C22" s="22"/>
      <c r="D22" s="22"/>
      <c r="E22" s="22"/>
      <c r="F22" s="194"/>
      <c r="G22" s="194"/>
      <c r="H22" s="194"/>
      <c r="I22" s="22"/>
      <c r="J22" s="22"/>
      <c r="K22" s="42"/>
      <c r="L22" s="171"/>
      <c r="N22" s="49" t="s">
        <v>159</v>
      </c>
      <c r="O22" s="34" t="s">
        <v>48</v>
      </c>
      <c r="P22" s="35">
        <v>28</v>
      </c>
      <c r="Q22" s="35">
        <v>19</v>
      </c>
      <c r="R22" s="34" t="s">
        <v>181</v>
      </c>
      <c r="S22" s="65"/>
      <c r="T22" s="36" t="s">
        <v>6</v>
      </c>
      <c r="U22" s="85"/>
      <c r="V22" s="82"/>
      <c r="W22" s="82"/>
      <c r="X22" s="83" t="s">
        <v>172</v>
      </c>
      <c r="Y22" s="19" t="s">
        <v>174</v>
      </c>
      <c r="Z22" s="17"/>
      <c r="AA22" s="17">
        <v>350</v>
      </c>
      <c r="AB22" s="18"/>
      <c r="AC22" s="20"/>
      <c r="AD22" s="17"/>
      <c r="AE22" s="18"/>
    </row>
    <row r="23" spans="1:31" ht="12.75" customHeight="1" x14ac:dyDescent="0.25">
      <c r="A23" s="198"/>
      <c r="B23" s="38"/>
      <c r="C23" s="22"/>
      <c r="D23" s="22"/>
      <c r="E23" s="67"/>
      <c r="F23" s="69" t="s">
        <v>7</v>
      </c>
      <c r="G23" s="70" t="str">
        <f>IF(G15&lt;=W11,X11,IF(G15&lt;=W12,X12,IF(G15&lt;=W13,X13,X14)))</f>
        <v>2.1, Kleinanlagen</v>
      </c>
      <c r="H23" s="68" t="s">
        <v>8</v>
      </c>
      <c r="I23" s="68"/>
      <c r="J23" s="75"/>
      <c r="K23" s="42"/>
      <c r="L23" s="171"/>
      <c r="N23" s="49" t="s">
        <v>160</v>
      </c>
      <c r="O23" s="34" t="s">
        <v>48</v>
      </c>
      <c r="P23" s="35">
        <v>42</v>
      </c>
      <c r="Q23" s="35">
        <v>24</v>
      </c>
      <c r="R23" s="34" t="s">
        <v>181</v>
      </c>
      <c r="S23" s="65"/>
      <c r="U23" s="80" t="str">
        <f>$G$27</f>
        <v>1, brennbar oder giftig</v>
      </c>
      <c r="V23" s="81"/>
      <c r="W23" s="82">
        <f>IF($G$27=$O$10,AE23,AB23)</f>
        <v>1000</v>
      </c>
      <c r="X23" s="83" t="s">
        <v>14</v>
      </c>
      <c r="Y23" s="10" t="s">
        <v>28</v>
      </c>
      <c r="Z23" s="44" t="s">
        <v>47</v>
      </c>
      <c r="AA23" s="45"/>
      <c r="AB23" s="46">
        <v>1000</v>
      </c>
      <c r="AC23" s="44" t="s">
        <v>48</v>
      </c>
      <c r="AD23" s="45"/>
      <c r="AE23" s="46">
        <v>5000</v>
      </c>
    </row>
    <row r="24" spans="1:31" ht="12.75" customHeight="1" thickBot="1" x14ac:dyDescent="0.3">
      <c r="A24" s="198"/>
      <c r="B24" s="86"/>
      <c r="C24" s="87"/>
      <c r="D24" s="87"/>
      <c r="E24" s="87"/>
      <c r="F24" s="87"/>
      <c r="G24" s="87"/>
      <c r="H24" s="87"/>
      <c r="I24" s="87"/>
      <c r="J24" s="87"/>
      <c r="K24" s="88"/>
      <c r="L24" s="171"/>
      <c r="N24" s="43" t="s">
        <v>161</v>
      </c>
      <c r="O24" s="34" t="s">
        <v>48</v>
      </c>
      <c r="P24" s="35">
        <v>28</v>
      </c>
      <c r="Q24" s="35">
        <v>18</v>
      </c>
      <c r="R24" s="34" t="s">
        <v>181</v>
      </c>
      <c r="S24" s="65"/>
      <c r="U24" s="89"/>
      <c r="V24" s="90"/>
      <c r="W24" s="90"/>
      <c r="X24" s="91" t="s">
        <v>15</v>
      </c>
      <c r="Y24" s="50" t="s">
        <v>169</v>
      </c>
      <c r="Z24" s="17"/>
      <c r="AA24" s="17"/>
      <c r="AB24" s="17"/>
      <c r="AC24" s="17"/>
      <c r="AD24" s="17"/>
      <c r="AE24" s="17"/>
    </row>
    <row r="25" spans="1:31" ht="12.75" customHeight="1" thickTop="1" x14ac:dyDescent="0.25">
      <c r="A25" s="198"/>
      <c r="B25" s="38"/>
      <c r="C25" s="22"/>
      <c r="D25" s="22"/>
      <c r="E25" s="22"/>
      <c r="F25" s="22"/>
      <c r="G25" s="22"/>
      <c r="H25" s="22"/>
      <c r="I25" s="22"/>
      <c r="J25" s="22"/>
      <c r="K25" s="42"/>
      <c r="L25" s="171"/>
      <c r="N25" s="43" t="s">
        <v>162</v>
      </c>
      <c r="O25" s="34" t="s">
        <v>48</v>
      </c>
      <c r="P25" s="35">
        <v>28</v>
      </c>
      <c r="Q25" s="35">
        <v>16</v>
      </c>
      <c r="R25" s="34" t="s">
        <v>181</v>
      </c>
      <c r="S25" s="65"/>
      <c r="Z25" s="92" t="s">
        <v>47</v>
      </c>
      <c r="AA25" s="75"/>
      <c r="AB25" s="22"/>
      <c r="AC25" s="17" t="s">
        <v>48</v>
      </c>
    </row>
    <row r="26" spans="1:31" ht="12.75" customHeight="1" x14ac:dyDescent="0.25">
      <c r="A26" s="198"/>
      <c r="B26" s="38"/>
      <c r="C26" s="39" t="s">
        <v>9</v>
      </c>
      <c r="D26" s="22"/>
      <c r="E26" s="22"/>
      <c r="F26" s="40" t="s">
        <v>35</v>
      </c>
      <c r="G26" s="41" t="s">
        <v>178</v>
      </c>
      <c r="H26" s="22"/>
      <c r="K26" s="42"/>
      <c r="L26" s="171"/>
      <c r="N26" s="43" t="s">
        <v>163</v>
      </c>
      <c r="O26" s="34" t="s">
        <v>48</v>
      </c>
      <c r="P26" s="35">
        <v>16</v>
      </c>
      <c r="Q26" s="35">
        <v>9</v>
      </c>
      <c r="R26" s="34" t="s">
        <v>181</v>
      </c>
      <c r="S26" s="65"/>
      <c r="Y26" s="93" t="s">
        <v>142</v>
      </c>
      <c r="Z26" s="94" t="str">
        <f>$G$27</f>
        <v>1, brennbar oder giftig</v>
      </c>
      <c r="AA26" s="95"/>
      <c r="AB26" s="93" t="s">
        <v>142</v>
      </c>
      <c r="AC26" s="96" t="str">
        <f>$G$27</f>
        <v>1, brennbar oder giftig</v>
      </c>
      <c r="AD26" s="96"/>
      <c r="AE26" s="96"/>
    </row>
    <row r="27" spans="1:31" ht="12.75" customHeight="1" x14ac:dyDescent="0.25">
      <c r="A27" s="198"/>
      <c r="B27" s="38"/>
      <c r="C27" s="22"/>
      <c r="D27" s="22"/>
      <c r="E27" s="22"/>
      <c r="F27" s="47" t="s">
        <v>1</v>
      </c>
      <c r="G27" s="48" t="str">
        <f>VLOOKUP(G26,$N$8:$O$37,2,0)</f>
        <v>1, brennbar oder giftig</v>
      </c>
      <c r="H27" s="158" t="s">
        <v>210</v>
      </c>
      <c r="K27" s="42"/>
      <c r="L27" s="171"/>
      <c r="N27" s="43" t="s">
        <v>176</v>
      </c>
      <c r="O27" s="34" t="s">
        <v>47</v>
      </c>
      <c r="P27" s="35">
        <v>18</v>
      </c>
      <c r="Q27" s="35">
        <v>10</v>
      </c>
      <c r="R27" s="34" t="s">
        <v>182</v>
      </c>
      <c r="Y27" s="93" t="s">
        <v>56</v>
      </c>
      <c r="Z27" s="97">
        <f>$G$34</f>
        <v>32</v>
      </c>
      <c r="AA27" s="98"/>
      <c r="AB27" s="93" t="s">
        <v>56</v>
      </c>
      <c r="AC27" s="96">
        <f>$G$34</f>
        <v>32</v>
      </c>
      <c r="AD27" s="96"/>
      <c r="AE27" s="96"/>
    </row>
    <row r="28" spans="1:31" ht="12.75" customHeight="1" x14ac:dyDescent="0.25">
      <c r="A28" s="199"/>
      <c r="B28" s="38"/>
      <c r="C28" s="22"/>
      <c r="D28" s="22"/>
      <c r="E28" s="22"/>
      <c r="F28" s="51" t="s">
        <v>212</v>
      </c>
      <c r="G28" s="52" t="str">
        <f>VLOOKUP(G26,$N$8:$R$37,5,0)</f>
        <v>A2L</v>
      </c>
      <c r="H28" s="162" t="s">
        <v>213</v>
      </c>
      <c r="K28" s="42"/>
      <c r="L28" s="171"/>
      <c r="N28" s="43" t="s">
        <v>177</v>
      </c>
      <c r="O28" s="34" t="s">
        <v>47</v>
      </c>
      <c r="P28" s="35">
        <v>40</v>
      </c>
      <c r="Q28" s="35">
        <v>23</v>
      </c>
      <c r="R28" s="34" t="s">
        <v>182</v>
      </c>
      <c r="Y28" s="93" t="s">
        <v>141</v>
      </c>
      <c r="Z28" s="99">
        <f>$G$35</f>
        <v>896</v>
      </c>
      <c r="AA28" s="100"/>
      <c r="AB28" s="93" t="s">
        <v>141</v>
      </c>
      <c r="AC28" s="96">
        <f>$G$35</f>
        <v>896</v>
      </c>
      <c r="AD28" s="96"/>
      <c r="AE28" s="96"/>
    </row>
    <row r="29" spans="1:31" x14ac:dyDescent="0.25">
      <c r="A29" s="187" t="s">
        <v>31</v>
      </c>
      <c r="B29" s="156" t="str">
        <f>IF($G$29=$B$48,"Für Rohrleitungen + Fittinge + Armaturen werden je","")</f>
        <v/>
      </c>
      <c r="C29" s="22"/>
      <c r="D29" s="22"/>
      <c r="E29" s="22"/>
      <c r="F29" s="62" t="s">
        <v>52</v>
      </c>
      <c r="G29" s="195" t="s">
        <v>54</v>
      </c>
      <c r="H29" s="22"/>
      <c r="K29" s="42"/>
      <c r="L29" s="171"/>
      <c r="N29" s="43" t="s">
        <v>179</v>
      </c>
      <c r="O29" s="34" t="s">
        <v>47</v>
      </c>
      <c r="P29" s="35">
        <v>40</v>
      </c>
      <c r="Q29" s="35">
        <v>23</v>
      </c>
      <c r="R29" s="34" t="s">
        <v>182</v>
      </c>
      <c r="Y29" s="101" t="s">
        <v>143</v>
      </c>
      <c r="Z29" s="102">
        <f>IF(Z25=Z26,10,0)</f>
        <v>10</v>
      </c>
      <c r="AA29" s="103"/>
      <c r="AB29" s="96"/>
      <c r="AC29" s="102">
        <f>IF(AC25=AC26,20,0)</f>
        <v>0</v>
      </c>
      <c r="AD29" s="103"/>
      <c r="AE29" s="96"/>
    </row>
    <row r="30" spans="1:31" ht="12.75" customHeight="1" x14ac:dyDescent="0.25">
      <c r="A30" s="188"/>
      <c r="B30" s="156" t="str">
        <f>IF($G$29=$B$48,"auftragszugeordnete 3.1 Abnahmeprüfzeugnisse","")</f>
        <v/>
      </c>
      <c r="C30" s="22"/>
      <c r="D30" s="22"/>
      <c r="E30" s="57"/>
      <c r="F30" s="104" t="str">
        <f>IF(AND(G29=B46,OR(G31=I60,G31=I64)),"&gt;s&lt; entspricht nicht ÖNORM EN 12735-1","")</f>
        <v/>
      </c>
      <c r="G30" s="196"/>
      <c r="H30" s="105"/>
      <c r="I30" s="166" t="s">
        <v>43</v>
      </c>
      <c r="J30" s="167"/>
      <c r="K30" s="42"/>
      <c r="L30" s="171"/>
      <c r="N30" s="49" t="s">
        <v>178</v>
      </c>
      <c r="O30" s="34" t="s">
        <v>47</v>
      </c>
      <c r="P30" s="35">
        <v>28</v>
      </c>
      <c r="Q30" s="35">
        <v>16</v>
      </c>
      <c r="R30" s="34" t="s">
        <v>182</v>
      </c>
      <c r="Y30" s="93" t="s">
        <v>168</v>
      </c>
      <c r="Z30" s="106">
        <f>IF(Z27&lt;=AA19,1,0)</f>
        <v>0</v>
      </c>
      <c r="AA30" s="107"/>
      <c r="AB30" s="96"/>
      <c r="AC30" s="97">
        <f>IF(AC27&lt;=AD19,1,0)</f>
        <v>1</v>
      </c>
      <c r="AD30" s="98">
        <f>IF(AC27&lt;=AD19,1,0)</f>
        <v>1</v>
      </c>
      <c r="AE30" s="96"/>
    </row>
    <row r="31" spans="1:31" x14ac:dyDescent="0.25">
      <c r="A31" s="188"/>
      <c r="B31" s="156" t="str">
        <f>IF($G$29=$B$48,"gemäß ÖNORM EN 10204 benötigt !","")</f>
        <v/>
      </c>
      <c r="C31" s="22"/>
      <c r="D31" s="22"/>
      <c r="E31" s="67"/>
      <c r="F31" s="108" t="s">
        <v>137</v>
      </c>
      <c r="G31" s="109" t="s">
        <v>68</v>
      </c>
      <c r="H31" s="75" t="s">
        <v>55</v>
      </c>
      <c r="I31" s="33" t="s">
        <v>36</v>
      </c>
      <c r="J31" s="33" t="s">
        <v>37</v>
      </c>
      <c r="K31" s="42"/>
      <c r="L31" s="171"/>
      <c r="N31" s="49" t="s">
        <v>164</v>
      </c>
      <c r="O31" s="34" t="s">
        <v>48</v>
      </c>
      <c r="P31" s="35">
        <v>28</v>
      </c>
      <c r="Q31" s="35">
        <v>18</v>
      </c>
      <c r="R31" s="34" t="s">
        <v>181</v>
      </c>
      <c r="Y31" s="93" t="s">
        <v>24</v>
      </c>
      <c r="Z31" s="106">
        <f>IF((AA31+AA32+AA33)=6,6,0)</f>
        <v>6</v>
      </c>
      <c r="AA31" s="98">
        <f>IF(Z27&gt;AA19,2,0)</f>
        <v>2</v>
      </c>
      <c r="AB31" s="96"/>
      <c r="AC31" s="97"/>
      <c r="AD31" s="98">
        <f>IF(AC28&lt;=AE19,2,0)</f>
        <v>2</v>
      </c>
      <c r="AE31" s="96"/>
    </row>
    <row r="32" spans="1:31" x14ac:dyDescent="0.25">
      <c r="A32" s="188"/>
      <c r="B32" s="38"/>
      <c r="C32" s="22"/>
      <c r="D32" s="22"/>
      <c r="E32" s="22"/>
      <c r="F32" s="62" t="s">
        <v>3</v>
      </c>
      <c r="G32" s="63">
        <v>28</v>
      </c>
      <c r="H32" s="22" t="s">
        <v>2</v>
      </c>
      <c r="I32" s="64">
        <f>VLOOKUP(G26,$N$8:$P$37,3,0)</f>
        <v>28</v>
      </c>
      <c r="J32" s="64">
        <f>VLOOKUP(G26,$N$8:$Q$37,4,0)</f>
        <v>16</v>
      </c>
      <c r="K32" s="42"/>
      <c r="L32" s="171"/>
      <c r="N32" s="49" t="s">
        <v>165</v>
      </c>
      <c r="O32" s="34" t="s">
        <v>48</v>
      </c>
      <c r="P32" s="35">
        <v>19</v>
      </c>
      <c r="Q32" s="35">
        <v>10</v>
      </c>
      <c r="R32" s="34" t="s">
        <v>181</v>
      </c>
      <c r="Y32" s="96"/>
      <c r="Z32" s="97"/>
      <c r="AA32" s="98">
        <f>IF(Z27&lt;=AA20,2,0)</f>
        <v>2</v>
      </c>
      <c r="AB32" s="96"/>
      <c r="AC32" s="106">
        <f>IF(AD32=TRUE,3,0)</f>
        <v>3</v>
      </c>
      <c r="AD32" s="111" t="b">
        <f>OR(AD30=1,AD31=2)</f>
        <v>1</v>
      </c>
      <c r="AE32" s="112" t="s">
        <v>168</v>
      </c>
    </row>
    <row r="33" spans="1:31" x14ac:dyDescent="0.25">
      <c r="A33" s="188"/>
      <c r="B33" s="38"/>
      <c r="C33" s="22"/>
      <c r="D33" s="22"/>
      <c r="E33" s="22"/>
      <c r="F33" s="22"/>
      <c r="G33" s="113" t="str">
        <f>IF(G32&gt;VLOOKUP(G31,B52:D72,3,0),"Die Rohrfestigkeit ist möglicherweise nicht gewährleistet.","")</f>
        <v/>
      </c>
      <c r="H33" s="22"/>
      <c r="I33" s="22"/>
      <c r="J33" s="22"/>
      <c r="K33" s="42"/>
      <c r="L33" s="171"/>
      <c r="N33" s="49" t="s">
        <v>211</v>
      </c>
      <c r="O33" s="34" t="s">
        <v>47</v>
      </c>
      <c r="P33" s="35">
        <v>18</v>
      </c>
      <c r="Q33" s="35">
        <v>10</v>
      </c>
      <c r="R33" s="34" t="s">
        <v>182</v>
      </c>
      <c r="Y33" s="96"/>
      <c r="Z33" s="115"/>
      <c r="AA33" s="107">
        <f>IF(Z28&lt;=AB20,2,0)</f>
        <v>2</v>
      </c>
      <c r="AB33" s="96"/>
      <c r="AC33" s="97"/>
      <c r="AD33" s="98">
        <f>IF(AC32=3,0,1)</f>
        <v>0</v>
      </c>
      <c r="AE33" s="96"/>
    </row>
    <row r="34" spans="1:31" ht="12.75" customHeight="1" x14ac:dyDescent="0.25">
      <c r="A34" s="188"/>
      <c r="B34" s="38"/>
      <c r="C34" s="22"/>
      <c r="D34" s="57"/>
      <c r="E34" s="57"/>
      <c r="F34" s="58" t="s">
        <v>10</v>
      </c>
      <c r="G34" s="116">
        <f>VLOOKUP(G31,B52:C72,2,0)</f>
        <v>32</v>
      </c>
      <c r="H34" s="22"/>
      <c r="I34" s="22"/>
      <c r="J34" s="22"/>
      <c r="L34" s="171"/>
      <c r="N34" s="161" t="s">
        <v>214</v>
      </c>
      <c r="O34" s="163" t="s">
        <v>48</v>
      </c>
      <c r="P34" s="110">
        <v>15</v>
      </c>
      <c r="Q34" s="110">
        <v>8</v>
      </c>
      <c r="R34" s="163" t="s">
        <v>181</v>
      </c>
      <c r="Y34" s="96"/>
      <c r="Z34" s="97">
        <f>IF(AA34=TRUE,3,0)</f>
        <v>3</v>
      </c>
      <c r="AA34" s="98" t="b">
        <f>OR(Z30=1,Z31=6)</f>
        <v>1</v>
      </c>
      <c r="AB34" s="96"/>
      <c r="AC34" s="97"/>
      <c r="AD34" s="98">
        <f>IF(AC27&lt;=AD20,4,0)</f>
        <v>4</v>
      </c>
      <c r="AE34" s="96"/>
    </row>
    <row r="35" spans="1:31" ht="12.75" customHeight="1" x14ac:dyDescent="0.25">
      <c r="A35" s="188"/>
      <c r="B35" s="38"/>
      <c r="C35" s="22"/>
      <c r="D35" s="22"/>
      <c r="E35" s="22"/>
      <c r="F35" s="62" t="s">
        <v>11</v>
      </c>
      <c r="G35" s="48">
        <f>G34*G32</f>
        <v>896</v>
      </c>
      <c r="H35" s="22"/>
      <c r="I35" s="22"/>
      <c r="J35" s="22"/>
      <c r="K35" s="118"/>
      <c r="L35" s="171"/>
      <c r="N35" s="159" t="s">
        <v>44</v>
      </c>
      <c r="O35" s="114" t="s">
        <v>48</v>
      </c>
      <c r="P35" s="35">
        <v>28</v>
      </c>
      <c r="Q35" s="35">
        <v>19</v>
      </c>
      <c r="R35" s="117" t="s">
        <v>185</v>
      </c>
      <c r="Y35" s="93" t="s">
        <v>171</v>
      </c>
      <c r="Z35" s="106">
        <f>IF(AA35=TRUE,7,0)</f>
        <v>0</v>
      </c>
      <c r="AA35" s="98" t="b">
        <f>AND(Z27&lt;=100,Z34=0)</f>
        <v>0</v>
      </c>
      <c r="AB35" s="96"/>
      <c r="AC35" s="97"/>
      <c r="AD35" s="98">
        <f>IF(AC28&lt;=AE20,5,0)</f>
        <v>5</v>
      </c>
      <c r="AE35" s="96"/>
    </row>
    <row r="36" spans="1:31" ht="12.75" customHeight="1" x14ac:dyDescent="0.25">
      <c r="A36" s="188"/>
      <c r="B36" s="67"/>
      <c r="C36" s="68"/>
      <c r="D36" s="68"/>
      <c r="E36" s="68"/>
      <c r="F36" s="69" t="s">
        <v>30</v>
      </c>
      <c r="G36" s="70" t="str">
        <f>AB49</f>
        <v>I = Modul A</v>
      </c>
      <c r="H36" s="71" t="s">
        <v>170</v>
      </c>
      <c r="I36" s="22"/>
      <c r="J36" s="22"/>
      <c r="K36" s="118"/>
      <c r="L36" s="171"/>
      <c r="N36" s="159" t="s">
        <v>45</v>
      </c>
      <c r="O36" s="114" t="s">
        <v>47</v>
      </c>
      <c r="P36" s="35">
        <v>25</v>
      </c>
      <c r="Q36" s="35">
        <v>16</v>
      </c>
      <c r="R36" s="117" t="s">
        <v>185</v>
      </c>
      <c r="Y36" s="96"/>
      <c r="Z36" s="97"/>
      <c r="AA36" s="98" t="b">
        <f>OR(Z30=1,Z31=6,Z35=7)</f>
        <v>1</v>
      </c>
      <c r="AB36" s="96"/>
      <c r="AC36" s="97"/>
      <c r="AD36" s="98" t="b">
        <f>OR(AD34=4,AD35=5)</f>
        <v>1</v>
      </c>
      <c r="AE36" s="96"/>
    </row>
    <row r="37" spans="1:31" ht="12.75" customHeight="1" x14ac:dyDescent="0.25">
      <c r="A37" s="188"/>
      <c r="B37" s="38"/>
      <c r="C37" s="22"/>
      <c r="D37" s="22"/>
      <c r="E37" s="72" t="s">
        <v>27</v>
      </c>
      <c r="F37" s="190" t="str">
        <f>VLOOKUP(G36,X19:Y22,2,0)</f>
        <v>interne Fertigungskontrolle</v>
      </c>
      <c r="G37" s="190"/>
      <c r="H37" s="190"/>
      <c r="I37" s="22"/>
      <c r="J37" s="22"/>
      <c r="K37" s="173" t="s">
        <v>125</v>
      </c>
      <c r="L37" s="171"/>
      <c r="N37" s="160" t="s">
        <v>46</v>
      </c>
      <c r="O37" s="119" t="s">
        <v>48</v>
      </c>
      <c r="P37" s="120">
        <v>30</v>
      </c>
      <c r="Q37" s="120">
        <v>20</v>
      </c>
      <c r="R37" s="121" t="s">
        <v>185</v>
      </c>
      <c r="Y37" s="93" t="s">
        <v>171</v>
      </c>
      <c r="Z37" s="106">
        <f>IF(AA37=TRUE,8,0)</f>
        <v>0</v>
      </c>
      <c r="AA37" s="98" t="b">
        <f>AND(AA36=FALSE,(AA38+AA39)=10)</f>
        <v>0</v>
      </c>
      <c r="AB37" s="96"/>
      <c r="AC37" s="106">
        <f>IF(AD37=TRUE,6,0)</f>
        <v>0</v>
      </c>
      <c r="AD37" s="111" t="b">
        <f>AND(AD33=1,AD36=TRUE)</f>
        <v>0</v>
      </c>
      <c r="AE37" s="112" t="s">
        <v>24</v>
      </c>
    </row>
    <row r="38" spans="1:31" ht="12.75" customHeight="1" x14ac:dyDescent="0.25">
      <c r="A38" s="188"/>
      <c r="B38" s="38"/>
      <c r="C38" s="22"/>
      <c r="D38" s="22"/>
      <c r="E38" s="22"/>
      <c r="F38" s="191"/>
      <c r="G38" s="191"/>
      <c r="H38" s="191"/>
      <c r="I38" s="22"/>
      <c r="J38" s="22"/>
      <c r="K38" s="173"/>
      <c r="L38" s="171"/>
      <c r="Q38" s="122" t="s">
        <v>51</v>
      </c>
      <c r="Y38" s="96"/>
      <c r="Z38" s="97"/>
      <c r="AA38" s="98">
        <f>IF(Z27&lt;=350,5,0)</f>
        <v>5</v>
      </c>
      <c r="AB38" s="96"/>
      <c r="AC38" s="97"/>
      <c r="AD38" s="98" t="b">
        <f>OR(AC32=3,AC37=6)</f>
        <v>1</v>
      </c>
      <c r="AE38" s="96"/>
    </row>
    <row r="39" spans="1:31" x14ac:dyDescent="0.25">
      <c r="A39" s="188"/>
      <c r="B39" s="38"/>
      <c r="C39" s="22"/>
      <c r="D39" s="22"/>
      <c r="E39" s="67"/>
      <c r="F39" s="69" t="s">
        <v>6</v>
      </c>
      <c r="G39" s="70" t="str">
        <f>IF(G35&lt;=W23,X23,X24)</f>
        <v>nieder</v>
      </c>
      <c r="H39" s="68" t="s">
        <v>13</v>
      </c>
      <c r="I39" s="68"/>
      <c r="J39" s="75"/>
      <c r="K39" s="173"/>
      <c r="L39" s="171"/>
      <c r="N39" s="123"/>
      <c r="O39" s="123"/>
      <c r="P39" s="123"/>
      <c r="Q39" s="124"/>
      <c r="Y39" s="96"/>
      <c r="Z39" s="97"/>
      <c r="AA39" s="107">
        <f>IF(Z28&lt;=3500,5,0)</f>
        <v>5</v>
      </c>
      <c r="AB39" s="96"/>
      <c r="AC39" s="97"/>
      <c r="AD39" s="98">
        <f>IF(AC27&lt;=AD21,7,0)</f>
        <v>7</v>
      </c>
      <c r="AE39" s="96"/>
    </row>
    <row r="40" spans="1:31" x14ac:dyDescent="0.25">
      <c r="A40" s="188"/>
      <c r="B40" s="38"/>
      <c r="C40" s="22"/>
      <c r="D40" s="22"/>
      <c r="E40" s="62" t="s">
        <v>29</v>
      </c>
      <c r="F40" s="192" t="str">
        <f>VLOOKUP(G39,X23:Y24,2,0)</f>
        <v>in Verantwortung des Betreibers z.B. durch Fachfirma</v>
      </c>
      <c r="G40" s="192"/>
      <c r="H40" s="192"/>
      <c r="I40" s="22"/>
      <c r="J40" s="22"/>
      <c r="K40" s="173"/>
      <c r="L40" s="171"/>
      <c r="Y40" s="101" t="s">
        <v>172</v>
      </c>
      <c r="Z40" s="106">
        <f>IF(AA40=TRUE,0,9)</f>
        <v>0</v>
      </c>
      <c r="AA40" s="125" t="b">
        <f>OR(Z30=1,Z31=6,Z35=7,Z37=8)</f>
        <v>1</v>
      </c>
      <c r="AB40" s="96"/>
      <c r="AC40" s="97"/>
      <c r="AD40" s="98">
        <f>IF(AC28&lt;=AE21,8,0)</f>
        <v>8</v>
      </c>
      <c r="AE40" s="126"/>
    </row>
    <row r="41" spans="1:31" x14ac:dyDescent="0.25">
      <c r="A41" s="188"/>
      <c r="B41" s="38"/>
      <c r="C41" s="22"/>
      <c r="D41" s="22"/>
      <c r="E41" s="22"/>
      <c r="F41" s="192"/>
      <c r="G41" s="192"/>
      <c r="H41" s="192"/>
      <c r="I41" s="22"/>
      <c r="J41" s="22"/>
      <c r="K41" s="173"/>
      <c r="L41" s="171"/>
      <c r="Y41" s="96"/>
      <c r="Z41" s="99">
        <f>Z29+Z30+Z31+Z35+Z37+Z40</f>
        <v>16</v>
      </c>
      <c r="AA41" s="100" t="str">
        <f>VLOOKUP(Z41,Z42:AA46,2,0)</f>
        <v>I = Modul A</v>
      </c>
      <c r="AB41" s="96"/>
      <c r="AC41" s="97"/>
      <c r="AD41" s="98" t="b">
        <f>OR(AD39=7,AD40=8)</f>
        <v>1</v>
      </c>
      <c r="AE41" s="126"/>
    </row>
    <row r="42" spans="1:31" x14ac:dyDescent="0.25">
      <c r="A42" s="188"/>
      <c r="B42" s="38"/>
      <c r="C42" s="22"/>
      <c r="D42" s="22"/>
      <c r="E42" s="22"/>
      <c r="F42" s="192"/>
      <c r="G42" s="192"/>
      <c r="H42" s="192"/>
      <c r="I42" s="22"/>
      <c r="J42" s="22"/>
      <c r="K42" s="173"/>
      <c r="L42" s="171"/>
      <c r="Y42" s="96"/>
      <c r="Z42" s="96">
        <v>11</v>
      </c>
      <c r="AA42" s="112" t="s">
        <v>168</v>
      </c>
      <c r="AB42" s="96"/>
      <c r="AC42" s="106">
        <f>IF(AD42=TRUE,9,0)</f>
        <v>0</v>
      </c>
      <c r="AD42" s="111" t="b">
        <f>AND(AD38=FALSE,AD41=TRUE)</f>
        <v>0</v>
      </c>
      <c r="AE42" s="112" t="s">
        <v>171</v>
      </c>
    </row>
    <row r="43" spans="1:31" ht="12.75" customHeight="1" x14ac:dyDescent="0.25">
      <c r="A43" s="189"/>
      <c r="B43" s="56"/>
      <c r="C43" s="57"/>
      <c r="D43" s="57"/>
      <c r="E43" s="57"/>
      <c r="F43" s="57"/>
      <c r="G43" s="57"/>
      <c r="H43" s="57"/>
      <c r="I43" s="57"/>
      <c r="J43" s="57"/>
      <c r="K43" s="174"/>
      <c r="L43" s="172"/>
      <c r="Y43" s="96"/>
      <c r="Z43" s="96">
        <v>16</v>
      </c>
      <c r="AA43" s="112" t="s">
        <v>24</v>
      </c>
      <c r="AB43" s="96"/>
      <c r="AC43" s="106">
        <f>IF(AD43=TRUE,0,10)</f>
        <v>0</v>
      </c>
      <c r="AD43" s="125" t="b">
        <f>OR(AC32=3,AC37=6,AC42=9)</f>
        <v>1</v>
      </c>
      <c r="AE43" s="127" t="s">
        <v>172</v>
      </c>
    </row>
    <row r="44" spans="1:31" x14ac:dyDescent="0.25">
      <c r="Y44" s="96"/>
      <c r="Z44" s="96">
        <v>17</v>
      </c>
      <c r="AA44" s="112" t="s">
        <v>171</v>
      </c>
      <c r="AB44" s="96"/>
      <c r="AC44" s="99">
        <f>AC29+AC32+AC37+AC42+AC43</f>
        <v>3</v>
      </c>
      <c r="AD44" s="100" t="e">
        <f>VLOOKUP(AC44,AC45:AD50,2,0)</f>
        <v>#N/A</v>
      </c>
      <c r="AE44" s="96"/>
    </row>
    <row r="45" spans="1:31" x14ac:dyDescent="0.25">
      <c r="A45" s="36" t="s">
        <v>52</v>
      </c>
      <c r="B45" s="3" t="s">
        <v>133</v>
      </c>
      <c r="C45" s="128"/>
      <c r="D45" s="3"/>
      <c r="E45" s="3"/>
      <c r="F45" s="3"/>
      <c r="Y45" s="96"/>
      <c r="Z45" s="96">
        <v>18</v>
      </c>
      <c r="AA45" s="112" t="s">
        <v>171</v>
      </c>
      <c r="AB45" s="96"/>
      <c r="AC45" s="96">
        <v>23</v>
      </c>
      <c r="AD45" s="112" t="s">
        <v>168</v>
      </c>
      <c r="AE45" s="96"/>
    </row>
    <row r="46" spans="1:31" x14ac:dyDescent="0.25">
      <c r="A46" s="3"/>
      <c r="B46" s="3" t="s">
        <v>54</v>
      </c>
      <c r="C46" s="128"/>
      <c r="D46" s="3"/>
      <c r="E46" s="3"/>
      <c r="F46" s="3"/>
      <c r="Y46" s="96"/>
      <c r="Z46" s="96">
        <v>19</v>
      </c>
      <c r="AA46" s="130" t="s">
        <v>172</v>
      </c>
      <c r="AB46" s="96"/>
      <c r="AC46" s="96">
        <v>26</v>
      </c>
      <c r="AD46" s="112" t="s">
        <v>24</v>
      </c>
      <c r="AE46" s="96"/>
    </row>
    <row r="47" spans="1:31" x14ac:dyDescent="0.25">
      <c r="A47" s="3"/>
      <c r="B47" s="3" t="s">
        <v>207</v>
      </c>
      <c r="C47" s="3"/>
      <c r="D47" s="3"/>
      <c r="E47" s="3"/>
      <c r="F47" s="3"/>
      <c r="H47" s="129" t="s">
        <v>131</v>
      </c>
      <c r="Y47" s="96"/>
      <c r="Z47" s="96"/>
      <c r="AA47" s="96"/>
      <c r="AB47" s="96"/>
      <c r="AC47" s="96">
        <v>29</v>
      </c>
      <c r="AD47" s="112" t="s">
        <v>171</v>
      </c>
      <c r="AE47" s="96"/>
    </row>
    <row r="48" spans="1:31" x14ac:dyDescent="0.25">
      <c r="A48" s="3"/>
      <c r="B48" s="3" t="s">
        <v>208</v>
      </c>
      <c r="C48" s="3"/>
      <c r="D48" s="3"/>
      <c r="E48" s="3"/>
      <c r="F48" s="3"/>
      <c r="H48" s="131" t="s">
        <v>130</v>
      </c>
      <c r="Y48" s="96"/>
      <c r="Z48" s="96"/>
      <c r="AA48" s="96"/>
      <c r="AB48" s="96"/>
      <c r="AC48" s="96"/>
      <c r="AD48" s="112"/>
      <c r="AE48" s="96"/>
    </row>
    <row r="49" spans="1:31" x14ac:dyDescent="0.25">
      <c r="A49" s="3"/>
      <c r="B49" s="3" t="s">
        <v>126</v>
      </c>
      <c r="C49" s="3"/>
      <c r="D49" s="3"/>
      <c r="E49" s="3"/>
      <c r="F49" s="3"/>
      <c r="H49" s="132" t="s">
        <v>132</v>
      </c>
      <c r="L49" s="29" t="str">
        <f>B49</f>
        <v>Sonderabmessungen, metrisch, z.B. 1.4301</v>
      </c>
      <c r="S49" s="149" t="s">
        <v>187</v>
      </c>
      <c r="T49" s="31"/>
      <c r="U49" s="32"/>
      <c r="W49" s="149" t="s">
        <v>187</v>
      </c>
      <c r="X49" s="31"/>
      <c r="Y49" s="32"/>
      <c r="Z49" s="96"/>
      <c r="AA49" s="96"/>
      <c r="AB49" s="101" t="str">
        <f>IF(Z29=10,AA41,AD44)</f>
        <v>I = Modul A</v>
      </c>
      <c r="AC49" s="96">
        <v>30</v>
      </c>
      <c r="AD49" s="130" t="s">
        <v>172</v>
      </c>
      <c r="AE49" s="96"/>
    </row>
    <row r="50" spans="1:31" x14ac:dyDescent="0.25">
      <c r="A50" s="3"/>
      <c r="B50" s="3" t="s">
        <v>127</v>
      </c>
      <c r="C50" s="3"/>
      <c r="D50" s="3"/>
      <c r="E50" s="3"/>
      <c r="F50" s="3"/>
      <c r="H50" s="133" t="s">
        <v>73</v>
      </c>
      <c r="K50" s="134" t="s">
        <v>73</v>
      </c>
      <c r="L50" s="135"/>
      <c r="N50" s="133" t="s">
        <v>73</v>
      </c>
      <c r="O50" s="136" t="str">
        <f>B50</f>
        <v>Sonderabmessungen, zöllig, z.B. 1.4301</v>
      </c>
      <c r="P50" s="137"/>
      <c r="S50" s="150" t="s">
        <v>197</v>
      </c>
      <c r="T50" s="22"/>
      <c r="U50" s="151" t="s">
        <v>186</v>
      </c>
      <c r="W50" s="150" t="s">
        <v>198</v>
      </c>
      <c r="X50" s="22"/>
      <c r="Y50" s="152" t="s">
        <v>186</v>
      </c>
    </row>
    <row r="51" spans="1:31" x14ac:dyDescent="0.25">
      <c r="A51" s="3"/>
      <c r="B51" s="92" t="s">
        <v>58</v>
      </c>
      <c r="C51" s="138" t="s">
        <v>59</v>
      </c>
      <c r="D51" s="4" t="s">
        <v>209</v>
      </c>
      <c r="E51" s="3"/>
      <c r="F51" s="36" t="s">
        <v>53</v>
      </c>
      <c r="G51" s="4" t="s">
        <v>56</v>
      </c>
      <c r="H51" s="133" t="s">
        <v>134</v>
      </c>
      <c r="I51" s="4" t="s">
        <v>57</v>
      </c>
      <c r="J51" s="4" t="s">
        <v>56</v>
      </c>
      <c r="K51" s="133" t="s">
        <v>138</v>
      </c>
      <c r="L51" s="139" t="s">
        <v>121</v>
      </c>
      <c r="M51" s="140" t="s">
        <v>56</v>
      </c>
      <c r="N51" s="133" t="s">
        <v>128</v>
      </c>
      <c r="O51" s="141" t="s">
        <v>93</v>
      </c>
      <c r="P51" s="140" t="s">
        <v>56</v>
      </c>
      <c r="Q51" s="142" t="s">
        <v>129</v>
      </c>
      <c r="S51" s="150" t="str">
        <f>B47</f>
        <v>CuFe2P-K65, zöllig, kein 3.1 Abnahmeprüfzeugnis</v>
      </c>
      <c r="T51" s="17" t="s">
        <v>56</v>
      </c>
      <c r="U51" s="152" t="s">
        <v>196</v>
      </c>
      <c r="W51" s="150" t="str">
        <f>B48</f>
        <v>CuFe2P-K65, zöllig, mit 3.1 Abnahmeprüfzeugnis</v>
      </c>
      <c r="X51" s="17" t="s">
        <v>56</v>
      </c>
      <c r="Y51" s="152" t="s">
        <v>196</v>
      </c>
    </row>
    <row r="52" spans="1:31" x14ac:dyDescent="0.25">
      <c r="A52" s="3"/>
      <c r="B52" s="20" t="str">
        <f>IF($G$29=$B$45,F52,IF($G$29=$B$46,I52,IF($G$29=$B$47,S52,IF($G$29=$B$48,W52,IF($G$29=$B$49,L52,O52)))))</f>
        <v>6x1</v>
      </c>
      <c r="C52" s="18">
        <f>IF($G$29=$B$45,G52,IF($G$29=$B$46,J52,IF($G$29=$B$47,T52,IF($G$29=$B$48,X52,IF($G$29=$B$49,M52,P52)))))</f>
        <v>4</v>
      </c>
      <c r="D52" s="4">
        <f>IF($G$29=$B$45,H52,IF($G$29=$B$46,K52,IF($G$29=$B$47,U52,IF($G$29=$B$48,Y52,IF($G$29=$B$49,N52,Q52)))))</f>
        <v>100</v>
      </c>
      <c r="E52" s="3"/>
      <c r="F52" s="4" t="s">
        <v>75</v>
      </c>
      <c r="G52" s="4">
        <v>10</v>
      </c>
      <c r="H52" s="133">
        <v>146.34</v>
      </c>
      <c r="I52" s="4" t="s">
        <v>60</v>
      </c>
      <c r="J52" s="4">
        <v>4</v>
      </c>
      <c r="K52" s="133">
        <v>100</v>
      </c>
      <c r="L52" s="35" t="s">
        <v>60</v>
      </c>
      <c r="M52" s="35">
        <v>4</v>
      </c>
      <c r="N52" s="133">
        <v>488.89</v>
      </c>
      <c r="O52" s="143" t="s">
        <v>120</v>
      </c>
      <c r="P52" s="35">
        <v>14</v>
      </c>
      <c r="Q52" s="144">
        <v>250.71</v>
      </c>
      <c r="S52" s="20" t="s">
        <v>188</v>
      </c>
      <c r="T52" s="17">
        <v>8.23</v>
      </c>
      <c r="U52" s="151">
        <v>109.86</v>
      </c>
      <c r="W52" s="15" t="s">
        <v>199</v>
      </c>
      <c r="X52" s="17">
        <v>8.23</v>
      </c>
      <c r="Y52" s="154">
        <v>125.55</v>
      </c>
    </row>
    <row r="53" spans="1:31" x14ac:dyDescent="0.25">
      <c r="A53" s="3"/>
      <c r="B53" s="20" t="str">
        <f t="shared" ref="B53:B72" si="0">IF($G$29=$B$45,F53,IF($G$29=$B$46,I53,IF($G$29=$B$47,S53,IF($G$29=$B$48,W53,IF($G$29=$B$49,L53,O53)))))</f>
        <v>8x1</v>
      </c>
      <c r="C53" s="18">
        <f t="shared" ref="C53:C72" si="1">IF($G$29=$B$45,G53,IF($G$29=$B$46,J53,IF($G$29=$B$47,T53,IF($G$29=$B$48,X53,IF($G$29=$B$49,M53,P53)))))</f>
        <v>6</v>
      </c>
      <c r="D53" s="4">
        <f t="shared" ref="D53:D72" si="2">IF($G$29=$B$45,H53,IF($G$29=$B$46,K53,IF($G$29=$B$47,U53,IF($G$29=$B$48,Y53,IF($G$29=$B$49,N53,Q53)))))</f>
        <v>82.87</v>
      </c>
      <c r="E53" s="3"/>
      <c r="F53" s="4" t="s">
        <v>76</v>
      </c>
      <c r="G53" s="4">
        <v>15</v>
      </c>
      <c r="H53" s="133">
        <v>117.07</v>
      </c>
      <c r="I53" s="4" t="s">
        <v>61</v>
      </c>
      <c r="J53" s="4">
        <v>6</v>
      </c>
      <c r="K53" s="133">
        <v>82.87</v>
      </c>
      <c r="L53" s="35" t="s">
        <v>61</v>
      </c>
      <c r="M53" s="35">
        <v>6</v>
      </c>
      <c r="N53" s="133">
        <v>349.21</v>
      </c>
      <c r="O53" s="143" t="s">
        <v>76</v>
      </c>
      <c r="P53" s="35">
        <v>17.3</v>
      </c>
      <c r="Q53" s="144">
        <v>253.31</v>
      </c>
      <c r="S53" s="20" t="s">
        <v>189</v>
      </c>
      <c r="T53" s="17">
        <v>11</v>
      </c>
      <c r="U53" s="151">
        <v>107.59</v>
      </c>
      <c r="W53" s="15" t="s">
        <v>200</v>
      </c>
      <c r="X53" s="17">
        <v>11</v>
      </c>
      <c r="Y53" s="154">
        <v>122.97</v>
      </c>
    </row>
    <row r="54" spans="1:31" x14ac:dyDescent="0.25">
      <c r="A54" s="3"/>
      <c r="B54" s="20" t="str">
        <f t="shared" si="0"/>
        <v>10x1</v>
      </c>
      <c r="C54" s="18">
        <f t="shared" si="1"/>
        <v>8</v>
      </c>
      <c r="D54" s="4">
        <f t="shared" si="2"/>
        <v>71.75</v>
      </c>
      <c r="E54" s="3"/>
      <c r="F54" s="4" t="s">
        <v>77</v>
      </c>
      <c r="G54" s="4">
        <v>20</v>
      </c>
      <c r="H54" s="133">
        <v>129.80000000000001</v>
      </c>
      <c r="I54" s="4" t="s">
        <v>62</v>
      </c>
      <c r="J54" s="4">
        <v>8</v>
      </c>
      <c r="K54" s="133">
        <v>71.75</v>
      </c>
      <c r="L54" s="35" t="s">
        <v>62</v>
      </c>
      <c r="M54" s="35">
        <v>8</v>
      </c>
      <c r="N54" s="133">
        <v>271.60000000000002</v>
      </c>
      <c r="O54" s="143" t="s">
        <v>105</v>
      </c>
      <c r="P54" s="35">
        <v>22.9</v>
      </c>
      <c r="Q54" s="144">
        <v>196.34</v>
      </c>
      <c r="S54" s="20" t="s">
        <v>190</v>
      </c>
      <c r="T54" s="17">
        <v>13.78</v>
      </c>
      <c r="U54" s="151">
        <v>106.24</v>
      </c>
      <c r="W54" s="15" t="s">
        <v>201</v>
      </c>
      <c r="X54" s="17">
        <v>13.78</v>
      </c>
      <c r="Y54" s="154">
        <v>121.42</v>
      </c>
    </row>
    <row r="55" spans="1:31" x14ac:dyDescent="0.25">
      <c r="A55" s="3"/>
      <c r="B55" s="20" t="str">
        <f t="shared" si="0"/>
        <v>12x1</v>
      </c>
      <c r="C55" s="18">
        <f t="shared" si="1"/>
        <v>10</v>
      </c>
      <c r="D55" s="4">
        <f t="shared" si="2"/>
        <v>60.61</v>
      </c>
      <c r="E55" s="3"/>
      <c r="F55" s="4" t="s">
        <v>78</v>
      </c>
      <c r="G55" s="4">
        <v>25</v>
      </c>
      <c r="H55" s="133">
        <v>129.75</v>
      </c>
      <c r="I55" s="4" t="s">
        <v>63</v>
      </c>
      <c r="J55" s="4">
        <v>10</v>
      </c>
      <c r="K55" s="133">
        <v>60.61</v>
      </c>
      <c r="L55" s="35" t="s">
        <v>63</v>
      </c>
      <c r="M55" s="35">
        <v>10</v>
      </c>
      <c r="N55" s="133">
        <v>222.22</v>
      </c>
      <c r="O55" s="143" t="s">
        <v>106</v>
      </c>
      <c r="P55" s="35">
        <v>29.7</v>
      </c>
      <c r="Q55" s="144">
        <v>154.22</v>
      </c>
      <c r="S55" s="20" t="s">
        <v>191</v>
      </c>
      <c r="T55" s="17">
        <v>16.46</v>
      </c>
      <c r="U55" s="151">
        <v>109.8</v>
      </c>
      <c r="W55" s="15" t="s">
        <v>202</v>
      </c>
      <c r="X55" s="17">
        <v>16.46</v>
      </c>
      <c r="Y55" s="154">
        <v>125.48</v>
      </c>
    </row>
    <row r="56" spans="1:31" x14ac:dyDescent="0.25">
      <c r="A56" s="3"/>
      <c r="B56" s="20" t="str">
        <f t="shared" si="0"/>
        <v>15x1</v>
      </c>
      <c r="C56" s="18">
        <f t="shared" si="1"/>
        <v>13</v>
      </c>
      <c r="D56" s="4">
        <f t="shared" si="2"/>
        <v>50.85</v>
      </c>
      <c r="E56" s="3"/>
      <c r="F56" s="4" t="s">
        <v>79</v>
      </c>
      <c r="G56" s="4">
        <v>32</v>
      </c>
      <c r="H56" s="133">
        <v>102.26</v>
      </c>
      <c r="I56" s="4" t="s">
        <v>64</v>
      </c>
      <c r="J56" s="4">
        <v>13</v>
      </c>
      <c r="K56" s="133">
        <v>50.85</v>
      </c>
      <c r="L56" s="35" t="s">
        <v>94</v>
      </c>
      <c r="M56" s="35">
        <v>12</v>
      </c>
      <c r="N56" s="133">
        <v>271.60000000000002</v>
      </c>
      <c r="O56" s="143" t="s">
        <v>107</v>
      </c>
      <c r="P56" s="35">
        <v>38.4</v>
      </c>
      <c r="Q56" s="144">
        <v>121.01</v>
      </c>
      <c r="S56" s="20" t="s">
        <v>192</v>
      </c>
      <c r="T56" s="17">
        <v>19.23</v>
      </c>
      <c r="U56" s="151">
        <v>108.56</v>
      </c>
      <c r="W56" s="15" t="s">
        <v>203</v>
      </c>
      <c r="X56" s="17">
        <v>19.23</v>
      </c>
      <c r="Y56" s="154">
        <v>124.07</v>
      </c>
    </row>
    <row r="57" spans="1:31" x14ac:dyDescent="0.25">
      <c r="A57" s="3"/>
      <c r="B57" s="20" t="str">
        <f t="shared" si="0"/>
        <v>16x1</v>
      </c>
      <c r="C57" s="18">
        <f t="shared" si="1"/>
        <v>14</v>
      </c>
      <c r="D57" s="4">
        <f t="shared" si="2"/>
        <v>47.46</v>
      </c>
      <c r="E57" s="3"/>
      <c r="F57" s="4" t="s">
        <v>80</v>
      </c>
      <c r="G57" s="4">
        <v>40</v>
      </c>
      <c r="H57" s="133">
        <v>89.41</v>
      </c>
      <c r="I57" s="4" t="s">
        <v>65</v>
      </c>
      <c r="J57" s="4">
        <v>14</v>
      </c>
      <c r="K57" s="133">
        <v>47.46</v>
      </c>
      <c r="L57" s="35" t="s">
        <v>95</v>
      </c>
      <c r="M57" s="35">
        <v>15</v>
      </c>
      <c r="N57" s="133">
        <v>222.22</v>
      </c>
      <c r="O57" s="143" t="s">
        <v>108</v>
      </c>
      <c r="P57" s="35">
        <v>44.3</v>
      </c>
      <c r="Q57" s="144">
        <v>105.59</v>
      </c>
      <c r="S57" s="20" t="s">
        <v>193</v>
      </c>
      <c r="T57" s="17">
        <v>24.78</v>
      </c>
      <c r="U57" s="151">
        <v>106.84</v>
      </c>
      <c r="W57" s="15" t="s">
        <v>204</v>
      </c>
      <c r="X57" s="17">
        <v>24.78</v>
      </c>
      <c r="Y57" s="154">
        <v>122.1</v>
      </c>
    </row>
    <row r="58" spans="1:31" x14ac:dyDescent="0.25">
      <c r="A58" s="3"/>
      <c r="B58" s="20" t="str">
        <f t="shared" si="0"/>
        <v>18x1</v>
      </c>
      <c r="C58" s="18">
        <f t="shared" si="1"/>
        <v>16</v>
      </c>
      <c r="D58" s="4">
        <f t="shared" si="2"/>
        <v>45.87</v>
      </c>
      <c r="E58" s="3"/>
      <c r="F58" s="36" t="s">
        <v>83</v>
      </c>
      <c r="G58" s="4">
        <v>50</v>
      </c>
      <c r="H58" s="133">
        <v>85.95</v>
      </c>
      <c r="I58" s="4" t="s">
        <v>74</v>
      </c>
      <c r="J58" s="4">
        <v>16</v>
      </c>
      <c r="K58" s="133">
        <v>45.87</v>
      </c>
      <c r="L58" s="35" t="s">
        <v>96</v>
      </c>
      <c r="M58" s="35">
        <v>20</v>
      </c>
      <c r="N58" s="133">
        <v>170.54</v>
      </c>
      <c r="O58" s="143" t="s">
        <v>70</v>
      </c>
      <c r="P58" s="35">
        <v>50</v>
      </c>
      <c r="Q58" s="144">
        <v>94.02</v>
      </c>
      <c r="S58" s="20" t="s">
        <v>194</v>
      </c>
      <c r="T58" s="17">
        <v>30.33</v>
      </c>
      <c r="U58" s="151">
        <v>105.75</v>
      </c>
      <c r="W58" s="15" t="s">
        <v>205</v>
      </c>
      <c r="X58" s="17">
        <v>30.33</v>
      </c>
      <c r="Y58" s="154">
        <v>120.85</v>
      </c>
    </row>
    <row r="59" spans="1:31" x14ac:dyDescent="0.25">
      <c r="A59" s="3"/>
      <c r="B59" s="20" t="str">
        <f t="shared" si="0"/>
        <v>22x1</v>
      </c>
      <c r="C59" s="18">
        <f t="shared" si="1"/>
        <v>20</v>
      </c>
      <c r="D59" s="4">
        <f t="shared" si="2"/>
        <v>46.42</v>
      </c>
      <c r="E59" s="3"/>
      <c r="F59" s="4" t="s">
        <v>81</v>
      </c>
      <c r="G59" s="4">
        <v>65</v>
      </c>
      <c r="H59" s="133">
        <v>67.72</v>
      </c>
      <c r="I59" s="4" t="s">
        <v>66</v>
      </c>
      <c r="J59" s="4">
        <v>20</v>
      </c>
      <c r="K59" s="133">
        <v>46.42</v>
      </c>
      <c r="L59" s="35" t="s">
        <v>67</v>
      </c>
      <c r="M59" s="35">
        <v>25</v>
      </c>
      <c r="N59" s="133">
        <v>138.36000000000001</v>
      </c>
      <c r="O59" s="143" t="s">
        <v>97</v>
      </c>
      <c r="P59" s="35">
        <v>56.3</v>
      </c>
      <c r="Q59" s="144">
        <v>83.86</v>
      </c>
      <c r="S59" s="44" t="s">
        <v>195</v>
      </c>
      <c r="T59" s="45">
        <v>35.880000000000003</v>
      </c>
      <c r="U59" s="153">
        <v>104.99</v>
      </c>
      <c r="W59" s="157" t="s">
        <v>206</v>
      </c>
      <c r="X59" s="45">
        <v>35.880000000000003</v>
      </c>
      <c r="Y59" s="155">
        <v>119.99</v>
      </c>
    </row>
    <row r="60" spans="1:31" x14ac:dyDescent="0.25">
      <c r="A60" s="3"/>
      <c r="B60" s="20" t="str">
        <f t="shared" si="0"/>
        <v>(28x1)</v>
      </c>
      <c r="C60" s="18">
        <f t="shared" si="1"/>
        <v>26</v>
      </c>
      <c r="D60" s="4">
        <f t="shared" si="2"/>
        <v>37.04</v>
      </c>
      <c r="E60" s="3"/>
      <c r="F60" s="4" t="s">
        <v>82</v>
      </c>
      <c r="G60" s="4">
        <v>80</v>
      </c>
      <c r="H60" s="133">
        <v>67.69</v>
      </c>
      <c r="I60" s="4" t="s">
        <v>136</v>
      </c>
      <c r="J60" s="4">
        <v>26</v>
      </c>
      <c r="K60" s="133">
        <v>37.04</v>
      </c>
      <c r="L60" s="35" t="s">
        <v>68</v>
      </c>
      <c r="M60" s="35">
        <v>32</v>
      </c>
      <c r="N60" s="133">
        <v>109.45</v>
      </c>
      <c r="O60" s="143" t="s">
        <v>109</v>
      </c>
      <c r="P60" s="35">
        <v>72.099999999999994</v>
      </c>
      <c r="Q60" s="144">
        <v>65.98</v>
      </c>
      <c r="S60" s="145" t="s">
        <v>122</v>
      </c>
      <c r="T60" s="4" t="s">
        <v>123</v>
      </c>
      <c r="U60" s="146" t="s">
        <v>122</v>
      </c>
      <c r="W60" s="145" t="s">
        <v>122</v>
      </c>
      <c r="X60" s="4" t="s">
        <v>123</v>
      </c>
      <c r="Y60" s="148" t="s">
        <v>122</v>
      </c>
    </row>
    <row r="61" spans="1:31" x14ac:dyDescent="0.25">
      <c r="A61" s="3"/>
      <c r="B61" s="20" t="str">
        <f t="shared" si="0"/>
        <v>28x1,5</v>
      </c>
      <c r="C61" s="18">
        <f t="shared" si="1"/>
        <v>25</v>
      </c>
      <c r="D61" s="4">
        <f t="shared" si="2"/>
        <v>37.24</v>
      </c>
      <c r="E61" s="3"/>
      <c r="F61" s="36" t="s">
        <v>84</v>
      </c>
      <c r="G61" s="4">
        <v>100</v>
      </c>
      <c r="H61" s="133">
        <v>60.07</v>
      </c>
      <c r="I61" s="4" t="s">
        <v>67</v>
      </c>
      <c r="J61" s="4">
        <v>25</v>
      </c>
      <c r="K61" s="133">
        <v>37.24</v>
      </c>
      <c r="L61" s="35" t="s">
        <v>69</v>
      </c>
      <c r="M61" s="35">
        <v>40</v>
      </c>
      <c r="N61" s="133">
        <v>88.35</v>
      </c>
      <c r="O61" s="143" t="s">
        <v>110</v>
      </c>
      <c r="P61" s="35">
        <v>84.9</v>
      </c>
      <c r="Q61" s="144">
        <v>56.26</v>
      </c>
      <c r="S61" s="145" t="s">
        <v>122</v>
      </c>
      <c r="T61" s="4" t="s">
        <v>123</v>
      </c>
      <c r="U61" s="146" t="s">
        <v>122</v>
      </c>
      <c r="W61" s="145" t="s">
        <v>122</v>
      </c>
      <c r="X61" s="4" t="s">
        <v>123</v>
      </c>
      <c r="Y61" s="148" t="s">
        <v>122</v>
      </c>
    </row>
    <row r="62" spans="1:31" x14ac:dyDescent="0.25">
      <c r="A62" s="3"/>
      <c r="B62" s="20" t="str">
        <f t="shared" si="0"/>
        <v>35x1,5</v>
      </c>
      <c r="C62" s="18">
        <f t="shared" si="1"/>
        <v>32</v>
      </c>
      <c r="D62" s="4">
        <f t="shared" si="2"/>
        <v>33.79</v>
      </c>
      <c r="E62" s="3"/>
      <c r="F62" s="36" t="s">
        <v>85</v>
      </c>
      <c r="G62" s="4">
        <v>125</v>
      </c>
      <c r="H62" s="133">
        <v>57.09</v>
      </c>
      <c r="I62" s="4" t="s">
        <v>68</v>
      </c>
      <c r="J62" s="4">
        <v>32</v>
      </c>
      <c r="K62" s="133">
        <v>33.79</v>
      </c>
      <c r="L62" s="35" t="s">
        <v>70</v>
      </c>
      <c r="M62" s="35">
        <v>50</v>
      </c>
      <c r="N62" s="133">
        <v>94.02</v>
      </c>
      <c r="O62" s="143" t="s">
        <v>100</v>
      </c>
      <c r="P62" s="35">
        <v>100</v>
      </c>
      <c r="Q62" s="144">
        <v>47.93</v>
      </c>
      <c r="S62" s="145" t="s">
        <v>122</v>
      </c>
      <c r="T62" s="4" t="s">
        <v>123</v>
      </c>
      <c r="U62" s="146" t="s">
        <v>122</v>
      </c>
      <c r="W62" s="145" t="s">
        <v>122</v>
      </c>
      <c r="X62" s="4" t="s">
        <v>123</v>
      </c>
      <c r="Y62" s="148" t="s">
        <v>122</v>
      </c>
    </row>
    <row r="63" spans="1:31" x14ac:dyDescent="0.25">
      <c r="A63" s="3"/>
      <c r="B63" s="20" t="str">
        <f t="shared" si="0"/>
        <v>42x1,5</v>
      </c>
      <c r="C63" s="18">
        <f t="shared" si="1"/>
        <v>39</v>
      </c>
      <c r="D63" s="4">
        <f t="shared" si="2"/>
        <v>27.37</v>
      </c>
      <c r="E63" s="3"/>
      <c r="F63" s="36" t="s">
        <v>86</v>
      </c>
      <c r="G63" s="4">
        <v>150</v>
      </c>
      <c r="H63" s="133">
        <v>55.66</v>
      </c>
      <c r="I63" s="4" t="s">
        <v>69</v>
      </c>
      <c r="J63" s="4">
        <v>39</v>
      </c>
      <c r="K63" s="133">
        <v>27.37</v>
      </c>
      <c r="L63" s="35" t="s">
        <v>98</v>
      </c>
      <c r="M63" s="35">
        <v>66</v>
      </c>
      <c r="N63" s="133">
        <v>71.900000000000006</v>
      </c>
      <c r="O63" s="143" t="s">
        <v>111</v>
      </c>
      <c r="P63" s="35">
        <v>110.3</v>
      </c>
      <c r="Q63" s="144">
        <v>43.53</v>
      </c>
      <c r="S63" s="145" t="s">
        <v>122</v>
      </c>
      <c r="T63" s="4" t="s">
        <v>123</v>
      </c>
      <c r="U63" s="146" t="s">
        <v>122</v>
      </c>
      <c r="W63" s="145" t="s">
        <v>122</v>
      </c>
      <c r="X63" s="4" t="s">
        <v>123</v>
      </c>
      <c r="Y63" s="148" t="s">
        <v>122</v>
      </c>
    </row>
    <row r="64" spans="1:31" x14ac:dyDescent="0.25">
      <c r="A64" s="3"/>
      <c r="B64" s="20" t="str">
        <f t="shared" si="0"/>
        <v>(54x1,5)</v>
      </c>
      <c r="C64" s="18">
        <f t="shared" si="1"/>
        <v>51</v>
      </c>
      <c r="D64" s="4">
        <f t="shared" si="2"/>
        <v>24.92</v>
      </c>
      <c r="E64" s="3"/>
      <c r="F64" s="4" t="s">
        <v>87</v>
      </c>
      <c r="G64" s="4">
        <v>200</v>
      </c>
      <c r="H64" s="133">
        <v>60.68</v>
      </c>
      <c r="I64" s="4" t="s">
        <v>135</v>
      </c>
      <c r="J64" s="4">
        <v>51</v>
      </c>
      <c r="K64" s="133">
        <v>24.92</v>
      </c>
      <c r="L64" s="35" t="s">
        <v>99</v>
      </c>
      <c r="M64" s="35">
        <v>80</v>
      </c>
      <c r="N64" s="133">
        <v>59.62</v>
      </c>
      <c r="O64" s="143" t="s">
        <v>101</v>
      </c>
      <c r="P64" s="35">
        <v>125</v>
      </c>
      <c r="Q64" s="144">
        <v>38.5</v>
      </c>
      <c r="S64" s="145" t="s">
        <v>122</v>
      </c>
      <c r="T64" s="4" t="s">
        <v>123</v>
      </c>
      <c r="U64" s="146" t="s">
        <v>122</v>
      </c>
      <c r="W64" s="145" t="s">
        <v>122</v>
      </c>
      <c r="X64" s="4" t="s">
        <v>123</v>
      </c>
      <c r="Y64" s="148" t="s">
        <v>122</v>
      </c>
    </row>
    <row r="65" spans="1:25" x14ac:dyDescent="0.25">
      <c r="A65" s="3"/>
      <c r="B65" s="20" t="str">
        <f t="shared" si="0"/>
        <v>54x2</v>
      </c>
      <c r="C65" s="18">
        <f t="shared" si="1"/>
        <v>50</v>
      </c>
      <c r="D65" s="4">
        <f t="shared" si="2"/>
        <v>24.92</v>
      </c>
      <c r="E65" s="3"/>
      <c r="F65" s="4" t="s">
        <v>88</v>
      </c>
      <c r="G65" s="4">
        <v>250</v>
      </c>
      <c r="H65" s="133">
        <v>53.87</v>
      </c>
      <c r="I65" s="4" t="s">
        <v>70</v>
      </c>
      <c r="J65" s="4">
        <v>50</v>
      </c>
      <c r="K65" s="133">
        <v>24.92</v>
      </c>
      <c r="L65" s="35" t="s">
        <v>100</v>
      </c>
      <c r="M65" s="35">
        <v>100</v>
      </c>
      <c r="N65" s="133">
        <v>47.93</v>
      </c>
      <c r="O65" s="143" t="s">
        <v>112</v>
      </c>
      <c r="P65" s="35">
        <v>135.69999999999999</v>
      </c>
      <c r="Q65" s="144">
        <v>35.5</v>
      </c>
      <c r="S65" s="145" t="s">
        <v>122</v>
      </c>
      <c r="T65" s="4" t="s">
        <v>123</v>
      </c>
      <c r="U65" s="146" t="s">
        <v>122</v>
      </c>
      <c r="W65" s="145" t="s">
        <v>122</v>
      </c>
      <c r="X65" s="4" t="s">
        <v>123</v>
      </c>
      <c r="Y65" s="148" t="s">
        <v>122</v>
      </c>
    </row>
    <row r="66" spans="1:25" x14ac:dyDescent="0.25">
      <c r="A66" s="3"/>
      <c r="B66" s="20" t="str">
        <f t="shared" si="0"/>
        <v>64x2</v>
      </c>
      <c r="C66" s="18">
        <f t="shared" si="1"/>
        <v>60</v>
      </c>
      <c r="D66" s="4">
        <f t="shared" si="2"/>
        <v>23.49</v>
      </c>
      <c r="E66" s="3"/>
      <c r="F66" s="4" t="s">
        <v>89</v>
      </c>
      <c r="G66" s="4">
        <v>284</v>
      </c>
      <c r="H66" s="133">
        <v>55.69</v>
      </c>
      <c r="I66" s="4" t="s">
        <v>71</v>
      </c>
      <c r="J66" s="4">
        <v>60</v>
      </c>
      <c r="K66" s="133">
        <v>23.49</v>
      </c>
      <c r="L66" s="35" t="s">
        <v>101</v>
      </c>
      <c r="M66" s="35">
        <v>125</v>
      </c>
      <c r="N66" s="133">
        <v>38.5</v>
      </c>
      <c r="O66" s="143" t="s">
        <v>102</v>
      </c>
      <c r="P66" s="35">
        <v>150</v>
      </c>
      <c r="Q66" s="144">
        <v>47.93</v>
      </c>
      <c r="S66" s="145" t="s">
        <v>122</v>
      </c>
      <c r="T66" s="4" t="s">
        <v>123</v>
      </c>
      <c r="U66" s="146" t="s">
        <v>122</v>
      </c>
      <c r="W66" s="145" t="s">
        <v>122</v>
      </c>
      <c r="X66" s="4" t="s">
        <v>123</v>
      </c>
      <c r="Y66" s="148" t="s">
        <v>122</v>
      </c>
    </row>
    <row r="67" spans="1:25" x14ac:dyDescent="0.25">
      <c r="A67" s="3"/>
      <c r="B67" s="20" t="str">
        <f t="shared" si="0"/>
        <v>76,1x2</v>
      </c>
      <c r="C67" s="18">
        <f t="shared" si="1"/>
        <v>72.099999999999994</v>
      </c>
      <c r="D67" s="4">
        <f t="shared" si="2"/>
        <v>21.6</v>
      </c>
      <c r="E67" s="3"/>
      <c r="F67" s="4" t="s">
        <v>90</v>
      </c>
      <c r="G67" s="4">
        <v>300</v>
      </c>
      <c r="H67" s="133">
        <v>51.25</v>
      </c>
      <c r="I67" s="4" t="s">
        <v>109</v>
      </c>
      <c r="J67" s="4">
        <v>72.099999999999994</v>
      </c>
      <c r="K67" s="133">
        <v>21.6</v>
      </c>
      <c r="L67" s="35" t="s">
        <v>102</v>
      </c>
      <c r="M67" s="35">
        <v>150</v>
      </c>
      <c r="N67" s="133">
        <v>47.93</v>
      </c>
      <c r="O67" s="143" t="s">
        <v>113</v>
      </c>
      <c r="P67" s="35">
        <v>162.30000000000001</v>
      </c>
      <c r="Q67" s="144">
        <v>44.36</v>
      </c>
      <c r="S67" s="145" t="s">
        <v>122</v>
      </c>
      <c r="T67" s="4" t="s">
        <v>123</v>
      </c>
      <c r="U67" s="146" t="s">
        <v>122</v>
      </c>
      <c r="W67" s="145" t="s">
        <v>122</v>
      </c>
      <c r="X67" s="4" t="s">
        <v>123</v>
      </c>
      <c r="Y67" s="148" t="s">
        <v>122</v>
      </c>
    </row>
    <row r="68" spans="1:25" x14ac:dyDescent="0.25">
      <c r="A68" s="3"/>
      <c r="B68" s="20" t="str">
        <f t="shared" si="0"/>
        <v>88,9x2</v>
      </c>
      <c r="C68" s="18">
        <f t="shared" si="1"/>
        <v>84.9</v>
      </c>
      <c r="D68" s="4">
        <f t="shared" si="2"/>
        <v>23.51</v>
      </c>
      <c r="E68" s="3"/>
      <c r="F68" s="4" t="s">
        <v>91</v>
      </c>
      <c r="G68" s="4">
        <v>350</v>
      </c>
      <c r="H68" s="133">
        <v>53.87</v>
      </c>
      <c r="I68" s="4" t="s">
        <v>110</v>
      </c>
      <c r="J68" s="4">
        <v>84.9</v>
      </c>
      <c r="K68" s="133">
        <v>23.51</v>
      </c>
      <c r="L68" s="35" t="s">
        <v>103</v>
      </c>
      <c r="M68" s="35">
        <v>200</v>
      </c>
      <c r="N68" s="133">
        <v>36.119999999999997</v>
      </c>
      <c r="O68" s="143" t="s">
        <v>114</v>
      </c>
      <c r="P68" s="35">
        <v>213.1</v>
      </c>
      <c r="Q68" s="144">
        <v>33.93</v>
      </c>
      <c r="S68" s="145" t="s">
        <v>122</v>
      </c>
      <c r="T68" s="4" t="s">
        <v>123</v>
      </c>
      <c r="U68" s="146" t="s">
        <v>122</v>
      </c>
      <c r="W68" s="145" t="s">
        <v>122</v>
      </c>
      <c r="X68" s="4" t="s">
        <v>123</v>
      </c>
      <c r="Y68" s="148" t="s">
        <v>122</v>
      </c>
    </row>
    <row r="69" spans="1:25" x14ac:dyDescent="0.25">
      <c r="A69" s="3"/>
      <c r="B69" s="20" t="str">
        <f t="shared" si="0"/>
        <v>108x2,5</v>
      </c>
      <c r="C69" s="18">
        <f t="shared" si="1"/>
        <v>103</v>
      </c>
      <c r="D69" s="4">
        <f t="shared" si="2"/>
        <v>17.43</v>
      </c>
      <c r="E69" s="3"/>
      <c r="F69" s="4" t="s">
        <v>92</v>
      </c>
      <c r="G69" s="4">
        <v>400</v>
      </c>
      <c r="H69" s="133">
        <v>52.52</v>
      </c>
      <c r="I69" s="4" t="s">
        <v>72</v>
      </c>
      <c r="J69" s="4">
        <v>103</v>
      </c>
      <c r="K69" s="133">
        <v>17.43</v>
      </c>
      <c r="L69" s="35" t="s">
        <v>117</v>
      </c>
      <c r="M69" s="35">
        <v>250</v>
      </c>
      <c r="N69" s="133">
        <v>28.99</v>
      </c>
      <c r="O69" s="143" t="s">
        <v>115</v>
      </c>
      <c r="P69" s="35">
        <v>267</v>
      </c>
      <c r="Q69" s="144">
        <v>27.16</v>
      </c>
      <c r="S69" s="145" t="s">
        <v>122</v>
      </c>
      <c r="T69" s="4" t="s">
        <v>123</v>
      </c>
      <c r="U69" s="146" t="s">
        <v>122</v>
      </c>
      <c r="W69" s="145" t="s">
        <v>122</v>
      </c>
      <c r="X69" s="4" t="s">
        <v>123</v>
      </c>
      <c r="Y69" s="148" t="s">
        <v>122</v>
      </c>
    </row>
    <row r="70" spans="1:25" x14ac:dyDescent="0.25">
      <c r="A70" s="3"/>
      <c r="B70" s="20" t="str">
        <f t="shared" si="0"/>
        <v>-----</v>
      </c>
      <c r="C70" s="18" t="str">
        <f t="shared" si="1"/>
        <v>ungültig</v>
      </c>
      <c r="D70" s="4" t="str">
        <f t="shared" si="2"/>
        <v>-----</v>
      </c>
      <c r="E70" s="3"/>
      <c r="F70" s="145" t="s">
        <v>122</v>
      </c>
      <c r="G70" s="4" t="s">
        <v>123</v>
      </c>
      <c r="H70" s="146" t="s">
        <v>122</v>
      </c>
      <c r="I70" s="145" t="s">
        <v>122</v>
      </c>
      <c r="J70" s="4" t="s">
        <v>123</v>
      </c>
      <c r="K70" s="146" t="s">
        <v>122</v>
      </c>
      <c r="L70" s="35" t="s">
        <v>118</v>
      </c>
      <c r="M70" s="35">
        <v>300</v>
      </c>
      <c r="N70" s="133">
        <v>24.2</v>
      </c>
      <c r="O70" s="143" t="s">
        <v>104</v>
      </c>
      <c r="P70" s="35">
        <v>317.89999999999998</v>
      </c>
      <c r="Q70" s="144">
        <v>22.85</v>
      </c>
      <c r="S70" s="145" t="s">
        <v>122</v>
      </c>
      <c r="T70" s="4" t="s">
        <v>123</v>
      </c>
      <c r="U70" s="146" t="s">
        <v>122</v>
      </c>
      <c r="W70" s="145" t="s">
        <v>122</v>
      </c>
      <c r="X70" s="4" t="s">
        <v>123</v>
      </c>
      <c r="Y70" s="148" t="s">
        <v>122</v>
      </c>
    </row>
    <row r="71" spans="1:25" x14ac:dyDescent="0.25">
      <c r="A71" s="3"/>
      <c r="B71" s="20" t="str">
        <f t="shared" si="0"/>
        <v>-----</v>
      </c>
      <c r="C71" s="18" t="str">
        <f t="shared" si="1"/>
        <v>ungültig</v>
      </c>
      <c r="D71" s="4" t="str">
        <f t="shared" si="2"/>
        <v>-----</v>
      </c>
      <c r="E71" s="3"/>
      <c r="F71" s="145" t="s">
        <v>122</v>
      </c>
      <c r="G71" s="4" t="s">
        <v>123</v>
      </c>
      <c r="H71" s="146" t="s">
        <v>122</v>
      </c>
      <c r="I71" s="145" t="s">
        <v>122</v>
      </c>
      <c r="J71" s="4" t="s">
        <v>123</v>
      </c>
      <c r="K71" s="146" t="s">
        <v>122</v>
      </c>
      <c r="L71" s="35" t="s">
        <v>116</v>
      </c>
      <c r="M71" s="35">
        <v>350</v>
      </c>
      <c r="N71" s="133">
        <v>20.77</v>
      </c>
      <c r="O71" s="143" t="s">
        <v>116</v>
      </c>
      <c r="P71" s="35">
        <v>350</v>
      </c>
      <c r="Q71" s="144">
        <v>20.77</v>
      </c>
      <c r="S71" s="145" t="s">
        <v>122</v>
      </c>
      <c r="T71" s="4" t="s">
        <v>123</v>
      </c>
      <c r="U71" s="146" t="s">
        <v>122</v>
      </c>
      <c r="W71" s="145" t="s">
        <v>122</v>
      </c>
      <c r="X71" s="4" t="s">
        <v>123</v>
      </c>
      <c r="Y71" s="148" t="s">
        <v>122</v>
      </c>
    </row>
    <row r="72" spans="1:25" x14ac:dyDescent="0.25">
      <c r="A72" s="3"/>
      <c r="B72" s="20" t="str">
        <f t="shared" si="0"/>
        <v>-----</v>
      </c>
      <c r="C72" s="18" t="str">
        <f t="shared" si="1"/>
        <v>ungültig</v>
      </c>
      <c r="D72" s="4" t="str">
        <f t="shared" si="2"/>
        <v>-----</v>
      </c>
      <c r="E72" s="3"/>
      <c r="F72" s="145" t="s">
        <v>122</v>
      </c>
      <c r="G72" s="4" t="s">
        <v>123</v>
      </c>
      <c r="H72" s="146" t="s">
        <v>122</v>
      </c>
      <c r="I72" s="145" t="s">
        <v>122</v>
      </c>
      <c r="J72" s="4" t="s">
        <v>123</v>
      </c>
      <c r="K72" s="146" t="s">
        <v>122</v>
      </c>
      <c r="L72" s="120" t="s">
        <v>119</v>
      </c>
      <c r="M72" s="120">
        <v>400</v>
      </c>
      <c r="N72" s="133">
        <v>18.2</v>
      </c>
      <c r="O72" s="147" t="s">
        <v>119</v>
      </c>
      <c r="P72" s="120">
        <v>400</v>
      </c>
      <c r="Q72" s="144">
        <v>18.2</v>
      </c>
      <c r="S72" s="145" t="s">
        <v>122</v>
      </c>
      <c r="T72" s="4" t="s">
        <v>123</v>
      </c>
      <c r="U72" s="146" t="s">
        <v>122</v>
      </c>
      <c r="W72" s="145" t="s">
        <v>122</v>
      </c>
      <c r="X72" s="4" t="s">
        <v>123</v>
      </c>
      <c r="Y72" s="148" t="s">
        <v>122</v>
      </c>
    </row>
  </sheetData>
  <sheetProtection algorithmName="SHA-512" hashValue="Bu1ztnvAEmumGawe6LMgj/7Aud7huih3XCqU1Rql5osHBxlmfng6ozMXnw0yTFW9dWI9a3QVI7tKf2NeggQe4Q==" saltValue="/aG3WXnTFSHrUbhtD3/B7Q==" spinCount="100000" sheet="1" objects="1" scenarios="1"/>
  <mergeCells count="17">
    <mergeCell ref="C1:J2"/>
    <mergeCell ref="C3:J4"/>
    <mergeCell ref="C5:J6"/>
    <mergeCell ref="I30:J30"/>
    <mergeCell ref="A29:A43"/>
    <mergeCell ref="F37:H38"/>
    <mergeCell ref="F40:H42"/>
    <mergeCell ref="F17:H18"/>
    <mergeCell ref="F20:H22"/>
    <mergeCell ref="G29:G30"/>
    <mergeCell ref="A22:A28"/>
    <mergeCell ref="P6:Q6"/>
    <mergeCell ref="I11:J11"/>
    <mergeCell ref="P3:Q3"/>
    <mergeCell ref="P4:Q4"/>
    <mergeCell ref="L8:L43"/>
    <mergeCell ref="K37:K43"/>
  </mergeCells>
  <phoneticPr fontId="2" type="noConversion"/>
  <dataValidations count="5">
    <dataValidation type="list" allowBlank="1" showInputMessage="1" showErrorMessage="1" promptTitle="Bitte wählen Sie die" prompt="Fluidgruppe aus." sqref="O27:O30 O33 O35:O37" xr:uid="{00000000-0002-0000-0000-000000000000}">
      <formula1>$O$12:$O$13</formula1>
    </dataValidation>
    <dataValidation type="custom" allowBlank="1" showInputMessage="1" showErrorMessage="1" errorTitle="Ihr PS ist zu klein !" error="Der Wert für PS muss größer als 0,5 bar sein." sqref="G13 G32" xr:uid="{00000000-0002-0000-0000-000001000000}">
      <formula1>G13&gt;0.5</formula1>
    </dataValidation>
    <dataValidation type="list" allowBlank="1" showInputMessage="1" showErrorMessage="1" promptTitle="Wählen Sie D x s aus" prompt="der drop-down Liste." sqref="G31" xr:uid="{00000000-0002-0000-0000-000002000000}">
      <formula1>$B$52:$B$72</formula1>
    </dataValidation>
    <dataValidation type="list" allowBlank="1" showInputMessage="1" showErrorMessage="1" promptTitle="Wählen Sie Ihr Kältemittel aus." prompt="In den &quot;grauen&quot; Ergänzungsfeldern, rechts von dieser Seite, können Sie ein zusätzliche Kältemittel Ihrer Wahl eintragen und eine zusätzliche Voreinstellung für den Vorschlag &quot;HD PS&quot; und &quot;ND PS&quot; vornehmen." sqref="G26 G9" xr:uid="{00000000-0002-0000-0000-000004000000}">
      <formula1>$N$8:$N$37</formula1>
    </dataValidation>
    <dataValidation type="list" allowBlank="1" showInputMessage="1" showErrorMessage="1" promptTitle="Wählen Sie Ihr Material aus." prompt="Bei den Sonderabmessungen ergänzen oder ändern Sie bitte die untenstehenden &quot;grauen&quot; Ergänzungsfelder." sqref="G29:G30" xr:uid="{00000000-0002-0000-0000-000003000000}">
      <formula1>$B$45:$B$50</formula1>
    </dataValidation>
  </dataValidations>
  <printOptions horizontalCentered="1"/>
  <pageMargins left="0.47244094488188981" right="0.47244094488188981" top="0.70866141732283472" bottom="0.70866141732283472" header="0.51181102362204722" footer="0.51181102362204722"/>
  <pageSetup paperSize="9" scale="91" orientation="landscape" r:id="rId1"/>
  <headerFooter alignWithMargins="0">
    <oddHeader>&amp;L&amp;"Times New Roman,Fett"&amp;8Information für den Kälte -, Klima - und Wärmepumpenbauer Nr. 3i, &amp;"Times New Roman,Standard"06.05.2007; geändert am &amp;"Times New Roman,Fett"26.06.2018&amp;R&amp;"Times New Roman,Standard"&amp;8Seite &amp;P von &amp;N</oddHeader>
    <oddFooter>&amp;L&amp;"Times New Roman,Standard"&amp;8Das Kategorisieren nach DGVO und DGÜW - V auf einem Blick.&amp;C&amp;"Times New Roman,Fett"&amp;8Berufsgruppe Kälte- und Klimatechnik + ÖKKV&amp;R&amp;"Times New Roman,Standard"&amp;8Druck &amp;D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Kategorisieren auf einem Blick</vt:lpstr>
      <vt:lpstr>'Kategorisieren auf einem Blick'!Druckbereich</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Seyfried Franz</cp:lastModifiedBy>
  <cp:lastPrinted>2016-12-03T06:51:44Z</cp:lastPrinted>
  <dcterms:created xsi:type="dcterms:W3CDTF">1996-10-17T05:27:31Z</dcterms:created>
  <dcterms:modified xsi:type="dcterms:W3CDTF">2021-04-20T05:17:41Z</dcterms:modified>
</cp:coreProperties>
</file>