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/>
  <xr:revisionPtr revIDLastSave="0" documentId="13_ncr:1_{C03AB1DC-80A2-453A-A5E4-14DA030F2D1A}" xr6:coauthVersionLast="36" xr6:coauthVersionMax="45" xr10:uidLastSave="{00000000-0000-0000-0000-000000000000}"/>
  <bookViews>
    <workbookView xWindow="-108" yWindow="-108" windowWidth="23256" windowHeight="13176" tabRatio="681" xr2:uid="{00000000-000D-0000-FFFF-FFFF00000000}"/>
  </bookViews>
  <sheets>
    <sheet name="Info Nr. 46f-1, A2L max. KM-kg" sheetId="22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22" l="1"/>
  <c r="D22" i="22"/>
  <c r="P26" i="22"/>
  <c r="P25" i="22"/>
  <c r="P23" i="22"/>
  <c r="P22" i="22"/>
  <c r="P30" i="22" s="1"/>
  <c r="P21" i="22"/>
  <c r="L36" i="22" l="1"/>
  <c r="G9" i="22"/>
  <c r="N23" i="22" s="1"/>
  <c r="N24" i="22" s="1"/>
  <c r="H9" i="22"/>
  <c r="I9" i="22"/>
  <c r="N20" i="22"/>
  <c r="D35" i="22"/>
  <c r="E35" i="22"/>
  <c r="L35" i="22" s="1"/>
  <c r="H35" i="22"/>
  <c r="J35" i="22"/>
  <c r="J24" i="22"/>
  <c r="E36" i="22"/>
  <c r="D25" i="22"/>
  <c r="E22" i="22"/>
  <c r="H7" i="22"/>
  <c r="E25" i="22"/>
  <c r="I28" i="22" l="1"/>
  <c r="H28" i="22"/>
  <c r="N25" i="22"/>
  <c r="F22" i="22"/>
  <c r="N22" i="22"/>
  <c r="P29" i="22" s="1"/>
  <c r="N21" i="22"/>
  <c r="O27" i="22" s="1"/>
  <c r="F35" i="22"/>
  <c r="I35" i="22" s="1"/>
  <c r="K35" i="22" s="1"/>
  <c r="I22" i="22"/>
  <c r="J22" i="22" s="1"/>
  <c r="H22" i="22"/>
  <c r="H25" i="22" s="1"/>
  <c r="G22" i="22"/>
  <c r="I11" i="22"/>
  <c r="G25" i="22"/>
  <c r="F28" i="22"/>
  <c r="J25" i="22" l="1"/>
  <c r="F25" i="22"/>
  <c r="I25" i="22"/>
  <c r="F36" i="22" l="1"/>
  <c r="K36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18" authorId="0" shapeId="0" xr:uid="{479A3FFE-1D75-461C-BF15-CC7AF99338F6}">
      <text>
        <r>
          <rPr>
            <b/>
            <sz val="9"/>
            <color indexed="81"/>
            <rFont val="Segoe UI"/>
            <family val="2"/>
          </rPr>
          <t xml:space="preserve">max. Kältemittel-Füllgewicht [kg] </t>
        </r>
        <r>
          <rPr>
            <sz val="9"/>
            <color indexed="81"/>
            <rFont val="Segoe UI"/>
            <family val="2"/>
          </rPr>
          <t>=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2,5 x LFL^(5/4) x ho x A^(1/2)</t>
        </r>
      </text>
    </comment>
  </commentList>
</comments>
</file>

<file path=xl/sharedStrings.xml><?xml version="1.0" encoding="utf-8"?>
<sst xmlns="http://schemas.openxmlformats.org/spreadsheetml/2006/main" count="169" uniqueCount="113">
  <si>
    <t>LFL [kg/m³]</t>
  </si>
  <si>
    <t>R-32</t>
  </si>
  <si>
    <t>R-1234yf</t>
  </si>
  <si>
    <t>R-1234ze</t>
  </si>
  <si>
    <t>R-452B</t>
  </si>
  <si>
    <t>R-454B</t>
  </si>
  <si>
    <t>R-454C</t>
  </si>
  <si>
    <t>R-410A</t>
  </si>
  <si>
    <t>R-134a</t>
  </si>
  <si>
    <t>R-404A</t>
  </si>
  <si>
    <t>Länge</t>
  </si>
  <si>
    <t>Breite</t>
  </si>
  <si>
    <t>m</t>
  </si>
  <si>
    <t>kg</t>
  </si>
  <si>
    <t>[kg/m³]</t>
  </si>
  <si>
    <t>M</t>
  </si>
  <si>
    <t>LFL</t>
  </si>
  <si>
    <t>QLMV</t>
  </si>
  <si>
    <t>Raumgröße :</t>
  </si>
  <si>
    <t>ÖNORM EN 378-1</t>
  </si>
  <si>
    <t>In   Zusammenarbeit dürfen wir Sie informieren über :</t>
  </si>
  <si>
    <t>Berufsgruppe Kälte - und Klimatechnik</t>
  </si>
  <si>
    <t>m³</t>
  </si>
  <si>
    <t>ATEL/ODL</t>
  </si>
  <si>
    <t>A2L-</t>
  </si>
  <si>
    <t>Kältemittel</t>
  </si>
  <si>
    <t>pGW</t>
  </si>
  <si>
    <t>ALT</t>
  </si>
  <si>
    <t>A2L-Basisdaten :</t>
  </si>
  <si>
    <t>R-290</t>
  </si>
  <si>
    <t>----</t>
  </si>
  <si>
    <t>A3; R-290</t>
  </si>
  <si>
    <t>R-516A</t>
  </si>
  <si>
    <t>Formel</t>
  </si>
  <si>
    <t>Geltungsbereich : KAV § 12.(1) für Räume die dem Aufenthalt von Personen dienen (Menschlicher Komfort) + Haushaltsbereich :</t>
  </si>
  <si>
    <t>A2L-Kältemittel-Füllmengen-Grenzwerte gemäß Produktnorm IEC 60335-2-40 RLV, Stand 26.01.2018, ….</t>
  </si>
  <si>
    <t>Basisdaten für individuelle Berechnung von Füllmengen-Grenzwerte :</t>
  </si>
  <si>
    <t>freies Raumvolumen</t>
  </si>
  <si>
    <t>ho=(hinst+hrel)</t>
  </si>
  <si>
    <t>gewähltes Kältemittel</t>
  </si>
  <si>
    <t>max. [kg]</t>
  </si>
  <si>
    <t>Gültig für Aufstellungsbereiche Erdgeschoß und höher :</t>
  </si>
  <si>
    <t>max. Kältemittel-Füllgewicht [kg]</t>
  </si>
  <si>
    <r>
      <rPr>
        <b/>
        <sz val="10"/>
        <color theme="1"/>
        <rFont val="Arial"/>
        <family val="2"/>
      </rPr>
      <t>ohne</t>
    </r>
    <r>
      <rPr>
        <sz val="10"/>
        <color theme="1"/>
        <rFont val="Arial"/>
        <family val="2"/>
      </rPr>
      <t xml:space="preserve"> Zusatzmaßnahme</t>
    </r>
  </si>
  <si>
    <r>
      <rPr>
        <b/>
        <sz val="10"/>
        <color theme="1"/>
        <rFont val="Arial"/>
        <family val="2"/>
      </rPr>
      <t>mit</t>
    </r>
    <r>
      <rPr>
        <sz val="10"/>
        <color theme="1"/>
        <rFont val="Arial"/>
        <family val="2"/>
      </rPr>
      <t xml:space="preserve"> Zusatzmaßnahmen</t>
    </r>
  </si>
  <si>
    <t>mit ständiger Luftzirkulation</t>
  </si>
  <si>
    <t>ebenso gemäß</t>
  </si>
  <si>
    <t>verbesserte Dichtheit</t>
  </si>
  <si>
    <t>ON EN 378-1</t>
  </si>
  <si>
    <t>verbesserte Dichtheit + 1 Zusatzmaßnahme</t>
  </si>
  <si>
    <t>Formel C.1</t>
  </si>
  <si>
    <t>verbesserte Dichtheit + 2 Zusatzmaßnahmen</t>
  </si>
  <si>
    <r>
      <t xml:space="preserve">gemäß </t>
    </r>
    <r>
      <rPr>
        <b/>
        <sz val="10"/>
        <color theme="1"/>
        <rFont val="Arial"/>
        <family val="2"/>
      </rPr>
      <t>Abschnitt :</t>
    </r>
  </si>
  <si>
    <t>GG.2.1</t>
  </si>
  <si>
    <t>GG.2.2</t>
  </si>
  <si>
    <t>GG.10.4</t>
  </si>
  <si>
    <t>GG.10.5</t>
  </si>
  <si>
    <t>Gemäß IEC 60335-2-40 RLV, zusätzliche Grenzwerte</t>
  </si>
  <si>
    <r>
      <t>"</t>
    </r>
    <r>
      <rPr>
        <sz val="8"/>
        <color rgb="FFFF0000"/>
        <rFont val="Arial"/>
        <family val="2"/>
      </rPr>
      <t>0,75</t>
    </r>
    <r>
      <rPr>
        <sz val="8"/>
        <color theme="1"/>
        <rFont val="Arial"/>
        <family val="2"/>
      </rPr>
      <t>xLFL"</t>
    </r>
  </si>
  <si>
    <t>"0,25xLFL"</t>
  </si>
  <si>
    <t>"0,50xLFL"</t>
  </si>
  <si>
    <t>[m]</t>
  </si>
  <si>
    <t>[m²]</t>
  </si>
  <si>
    <t>Zwischenergebnis ohne Zusatzgrenzen [kg]</t>
  </si>
  <si>
    <t>GG.1.2 "m1" ≤</t>
  </si>
  <si>
    <r>
      <t xml:space="preserve">kg </t>
    </r>
    <r>
      <rPr>
        <b/>
        <sz val="10"/>
        <color rgb="FFFF0000"/>
        <rFont val="Arial"/>
        <family val="2"/>
      </rPr>
      <t>#)</t>
    </r>
  </si>
  <si>
    <r>
      <t xml:space="preserve">Vorschau </t>
    </r>
    <r>
      <rPr>
        <b/>
        <sz val="8"/>
        <color rgb="FFFF0000"/>
        <rFont val="Arial"/>
        <family val="2"/>
      </rPr>
      <t>m1'</t>
    </r>
    <r>
      <rPr>
        <sz val="8"/>
        <color rgb="FFFF0000"/>
        <rFont val="Arial"/>
        <family val="2"/>
      </rPr>
      <t xml:space="preserve"> ≤</t>
    </r>
  </si>
  <si>
    <r>
      <t xml:space="preserve">kg  </t>
    </r>
    <r>
      <rPr>
        <b/>
        <sz val="8"/>
        <color rgb="FFFF0000"/>
        <rFont val="Arial"/>
        <family val="2"/>
      </rPr>
      <t>##)</t>
    </r>
  </si>
  <si>
    <t>Grundfläche</t>
  </si>
  <si>
    <t>GG.1.2 "m2" ≤</t>
  </si>
  <si>
    <t>max. Kältemittel-Füllgewichte [kg] für</t>
  </si>
  <si>
    <t>GG.10 "4 x m2" ≤</t>
  </si>
  <si>
    <t>GG.1.2 "m3" ≤</t>
  </si>
  <si>
    <t>verwendete Zusatzgrenzen</t>
  </si>
  <si>
    <r>
      <t xml:space="preserve">≤ </t>
    </r>
    <r>
      <rPr>
        <b/>
        <sz val="8"/>
        <rFont val="Arial"/>
        <family val="2"/>
      </rPr>
      <t>0,50xLFL</t>
    </r>
  </si>
  <si>
    <r>
      <t xml:space="preserve">≤ </t>
    </r>
    <r>
      <rPr>
        <b/>
        <sz val="8"/>
        <rFont val="Arial"/>
        <family val="2"/>
      </rPr>
      <t>4xm2</t>
    </r>
  </si>
  <si>
    <r>
      <t xml:space="preserve">&gt; </t>
    </r>
    <r>
      <rPr>
        <b/>
        <sz val="8"/>
        <rFont val="Arial"/>
        <family val="2"/>
      </rPr>
      <t>4xm2</t>
    </r>
    <r>
      <rPr>
        <b/>
        <sz val="8"/>
        <rFont val="Arial"/>
        <family val="2"/>
      </rPr>
      <t xml:space="preserve"> +  ≤ </t>
    </r>
    <r>
      <rPr>
        <b/>
        <sz val="8"/>
        <rFont val="Arial"/>
        <family val="2"/>
      </rPr>
      <t>m3</t>
    </r>
  </si>
  <si>
    <r>
      <t xml:space="preserve">Vorschau prIEC 60335-2-89 </t>
    </r>
    <r>
      <rPr>
        <b/>
        <sz val="8"/>
        <color rgb="FFFF0000"/>
        <rFont val="Arial"/>
        <family val="2"/>
      </rPr>
      <t>m1</t>
    </r>
    <r>
      <rPr>
        <sz val="8"/>
        <color rgb="FFFF0000"/>
        <rFont val="Arial"/>
        <family val="2"/>
      </rPr>
      <t>'=</t>
    </r>
  </si>
  <si>
    <t>13xLFL</t>
  </si>
  <si>
    <t>+  ≤ m2</t>
  </si>
  <si>
    <r>
      <rPr>
        <b/>
        <sz val="10"/>
        <color rgb="FFFF0000"/>
        <rFont val="Arial"/>
        <family val="2"/>
      </rPr>
      <t xml:space="preserve">#) </t>
    </r>
    <r>
      <rPr>
        <sz val="10"/>
        <color theme="1"/>
        <rFont val="Arial"/>
        <family val="2"/>
      </rPr>
      <t>Bis zum Grenzwert m1 =</t>
    </r>
  </si>
  <si>
    <t>Vorschau auf die mögliche Zukunft für</t>
  </si>
  <si>
    <t>keine Raumgrößeneinschränkung gemäß GG.1.2</t>
  </si>
  <si>
    <t>##) m1' mit Angabe der min. erf. Grundfläche m²</t>
  </si>
  <si>
    <t>Aufstellungsbereiche im Keller :</t>
  </si>
  <si>
    <t xml:space="preserve">≤ GG.10.4 </t>
  </si>
  <si>
    <t>&gt; GG.10.4 und ≤ GG.10.5</t>
  </si>
  <si>
    <t>max. § 12.(1) KAV = Füllmengenbegrezung - fiktiver Vergleich ….</t>
  </si>
  <si>
    <t>pGW [kg/m³]</t>
  </si>
  <si>
    <t>kg / Raum</t>
  </si>
  <si>
    <t>Dichte-Vergleichsfaktor</t>
  </si>
  <si>
    <t>Volumens-Vergleichsfaktor</t>
  </si>
  <si>
    <t>für A2L-Kältemittel gemäß Abschnitt :</t>
  </si>
  <si>
    <t>3.143 und 22.125</t>
  </si>
  <si>
    <t>Zusatzmaßnahmen</t>
  </si>
  <si>
    <t>GG.11, GG.12 oder GG.13</t>
  </si>
  <si>
    <t>GG.11</t>
  </si>
  <si>
    <t>zusätzliche natürliche (+ GG1.3 + GG.1.4) oder mechanische Lüftung im Raum</t>
  </si>
  <si>
    <t>GG.12</t>
  </si>
  <si>
    <t>Schnellschlussventile</t>
  </si>
  <si>
    <t>GG.13</t>
  </si>
  <si>
    <t>Kältemittel-Detektionssystem</t>
  </si>
  <si>
    <t>Ergänzung zur Seite 1 ….</t>
  </si>
  <si>
    <t>Vergleichende, bewertete durchschnittlichen spezifischen Gewichte [kg/m³] zum Ausgangs-Kältemittel "ALT" :</t>
  </si>
  <si>
    <t>Das A2L-Kältemittel ist leichter oder schwerer als "ALT" ….</t>
  </si>
  <si>
    <t>Faktor</t>
  </si>
  <si>
    <t>angenommener Faktor für Optimierung des Rohrvolumens ….</t>
  </si>
  <si>
    <t>A1-</t>
  </si>
  <si>
    <t>Das A1-Kältemittel ist leichter oder schwerer als "ALT" ….</t>
  </si>
  <si>
    <t>R-449A</t>
  </si>
  <si>
    <t>R-513A</t>
  </si>
  <si>
    <t>"0,45xLFL"</t>
  </si>
  <si>
    <t>(Anmerkung : rechnet je auf 25%x LFL) 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</si>
</sst>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00FF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8"/>
      <color rgb="FF0000FF"/>
      <name val="Arial"/>
      <family val="2"/>
    </font>
    <font>
      <sz val="8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sz val="9"/>
      <color theme="1"/>
      <name val="Arial"/>
      <family val="2"/>
    </font>
    <font>
      <b/>
      <sz val="10"/>
      <color rgb="FF0000FF"/>
      <name val="Arial"/>
      <family val="2"/>
    </font>
    <font>
      <i/>
      <sz val="8"/>
      <color theme="1"/>
      <name val="Arial"/>
      <family val="2"/>
    </font>
    <font>
      <b/>
      <i/>
      <sz val="10"/>
      <color rgb="FF0000FF"/>
      <name val="Arial"/>
      <family val="2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1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1" fillId="0" borderId="7" xfId="0" applyFont="1" applyBorder="1"/>
    <xf numFmtId="0" fontId="2" fillId="0" borderId="0" xfId="0" applyFont="1" applyAlignment="1">
      <alignment horizontal="right"/>
    </xf>
    <xf numFmtId="0" fontId="1" fillId="0" borderId="9" xfId="0" applyFont="1" applyBorder="1"/>
    <xf numFmtId="2" fontId="2" fillId="0" borderId="0" xfId="0" applyNumberFormat="1" applyFont="1"/>
    <xf numFmtId="0" fontId="6" fillId="0" borderId="0" xfId="0" applyFont="1"/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2" fillId="0" borderId="8" xfId="0" applyFont="1" applyBorder="1" applyAlignment="1">
      <alignment vertical="center" textRotation="90" wrapText="1"/>
    </xf>
    <xf numFmtId="0" fontId="8" fillId="0" borderId="0" xfId="0" applyFont="1"/>
    <xf numFmtId="0" fontId="1" fillId="0" borderId="1" xfId="0" applyFont="1" applyBorder="1"/>
    <xf numFmtId="164" fontId="8" fillId="0" borderId="9" xfId="0" applyNumberFormat="1" applyFont="1" applyBorder="1"/>
    <xf numFmtId="0" fontId="2" fillId="0" borderId="1" xfId="0" applyFont="1" applyBorder="1" applyAlignment="1">
      <alignment horizontal="center"/>
    </xf>
    <xf numFmtId="0" fontId="1" fillId="0" borderId="10" xfId="0" applyFont="1" applyBorder="1"/>
    <xf numFmtId="0" fontId="16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1" fillId="0" borderId="4" xfId="0" applyFont="1" applyBorder="1"/>
    <xf numFmtId="164" fontId="8" fillId="0" borderId="4" xfId="0" applyNumberFormat="1" applyFont="1" applyBorder="1"/>
    <xf numFmtId="0" fontId="1" fillId="0" borderId="3" xfId="0" applyFont="1" applyBorder="1" applyAlignment="1">
      <alignment horizontal="right"/>
    </xf>
    <xf numFmtId="0" fontId="1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9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2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/>
    <xf numFmtId="164" fontId="1" fillId="0" borderId="17" xfId="0" applyNumberFormat="1" applyFont="1" applyBorder="1"/>
    <xf numFmtId="0" fontId="1" fillId="0" borderId="15" xfId="0" applyFont="1" applyBorder="1"/>
    <xf numFmtId="0" fontId="16" fillId="0" borderId="9" xfId="0" applyFont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0" borderId="1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" fillId="0" borderId="12" xfId="0" applyFont="1" applyBorder="1"/>
    <xf numFmtId="0" fontId="1" fillId="0" borderId="3" xfId="0" applyFont="1" applyBorder="1"/>
    <xf numFmtId="2" fontId="8" fillId="3" borderId="0" xfId="0" applyNumberFormat="1" applyFont="1" applyFill="1"/>
    <xf numFmtId="0" fontId="20" fillId="0" borderId="0" xfId="0" applyFont="1"/>
    <xf numFmtId="2" fontId="20" fillId="0" borderId="0" xfId="0" applyNumberFormat="1" applyFont="1"/>
    <xf numFmtId="0" fontId="1" fillId="0" borderId="2" xfId="0" applyFont="1" applyBorder="1"/>
    <xf numFmtId="0" fontId="5" fillId="0" borderId="4" xfId="0" applyFont="1" applyBorder="1" applyAlignment="1">
      <alignment horizontal="right"/>
    </xf>
    <xf numFmtId="164" fontId="5" fillId="0" borderId="7" xfId="0" applyNumberFormat="1" applyFont="1" applyBorder="1"/>
    <xf numFmtId="164" fontId="5" fillId="0" borderId="8" xfId="0" applyNumberFormat="1" applyFont="1" applyBorder="1"/>
    <xf numFmtId="0" fontId="5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64" fontId="21" fillId="0" borderId="7" xfId="0" applyNumberFormat="1" applyFont="1" applyBorder="1"/>
    <xf numFmtId="0" fontId="1" fillId="0" borderId="11" xfId="0" applyFont="1" applyBorder="1"/>
    <xf numFmtId="0" fontId="8" fillId="0" borderId="2" xfId="0" applyFont="1" applyBorder="1" applyAlignment="1">
      <alignment horizontal="right"/>
    </xf>
    <xf numFmtId="0" fontId="8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8" fillId="0" borderId="11" xfId="0" applyFont="1" applyBorder="1" applyAlignment="1">
      <alignment horizontal="right"/>
    </xf>
    <xf numFmtId="0" fontId="8" fillId="0" borderId="14" xfId="0" applyFont="1" applyBorder="1"/>
    <xf numFmtId="0" fontId="8" fillId="0" borderId="14" xfId="0" applyFont="1" applyBorder="1" applyAlignment="1">
      <alignment horizontal="right"/>
    </xf>
    <xf numFmtId="164" fontId="8" fillId="4" borderId="7" xfId="0" applyNumberFormat="1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2" fontId="17" fillId="4" borderId="8" xfId="0" applyNumberFormat="1" applyFont="1" applyFill="1" applyBorder="1" applyAlignment="1">
      <alignment horizontal="center"/>
    </xf>
    <xf numFmtId="0" fontId="8" fillId="0" borderId="5" xfId="0" applyFont="1" applyBorder="1"/>
    <xf numFmtId="0" fontId="1" fillId="0" borderId="19" xfId="0" applyFont="1" applyBorder="1"/>
    <xf numFmtId="0" fontId="7" fillId="0" borderId="0" xfId="0" applyFont="1" applyAlignment="1">
      <alignment horizontal="center"/>
    </xf>
    <xf numFmtId="0" fontId="5" fillId="0" borderId="0" xfId="0" applyFont="1"/>
    <xf numFmtId="0" fontId="5" fillId="0" borderId="0" xfId="0" quotePrefix="1" applyFont="1" applyAlignment="1">
      <alignment horizontal="center"/>
    </xf>
    <xf numFmtId="0" fontId="1" fillId="0" borderId="20" xfId="0" applyFont="1" applyBorder="1"/>
    <xf numFmtId="0" fontId="8" fillId="0" borderId="1" xfId="0" applyFont="1" applyBorder="1" applyAlignment="1">
      <alignment horizontal="right"/>
    </xf>
    <xf numFmtId="0" fontId="1" fillId="0" borderId="6" xfId="0" applyFont="1" applyBorder="1"/>
    <xf numFmtId="0" fontId="2" fillId="0" borderId="1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11" xfId="0" applyFont="1" applyBorder="1" applyAlignment="1">
      <alignment horizontal="right"/>
    </xf>
    <xf numFmtId="0" fontId="22" fillId="0" borderId="2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2" fontId="9" fillId="0" borderId="23" xfId="0" applyNumberFormat="1" applyFont="1" applyBorder="1" applyAlignment="1">
      <alignment horizontal="center"/>
    </xf>
    <xf numFmtId="2" fontId="9" fillId="0" borderId="24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21" fillId="0" borderId="0" xfId="0" applyNumberFormat="1" applyFont="1"/>
    <xf numFmtId="2" fontId="9" fillId="0" borderId="2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1" xfId="0" applyFont="1" applyBorder="1" applyAlignment="1">
      <alignment horizontal="right"/>
    </xf>
    <xf numFmtId="0" fontId="1" fillId="3" borderId="25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2" fontId="2" fillId="5" borderId="3" xfId="0" applyNumberFormat="1" applyFont="1" applyFill="1" applyBorder="1" applyAlignment="1">
      <alignment horizontal="center"/>
    </xf>
    <xf numFmtId="2" fontId="2" fillId="5" borderId="26" xfId="0" applyNumberFormat="1" applyFont="1" applyFill="1" applyBorder="1" applyAlignment="1">
      <alignment horizontal="center"/>
    </xf>
    <xf numFmtId="2" fontId="2" fillId="5" borderId="8" xfId="0" applyNumberFormat="1" applyFont="1" applyFill="1" applyBorder="1" applyAlignment="1">
      <alignment horizontal="center"/>
    </xf>
    <xf numFmtId="2" fontId="2" fillId="5" borderId="2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4" xfId="0" applyFont="1" applyBorder="1"/>
    <xf numFmtId="0" fontId="1" fillId="0" borderId="21" xfId="0" applyFont="1" applyBorder="1"/>
    <xf numFmtId="0" fontId="5" fillId="0" borderId="25" xfId="0" applyFont="1" applyBorder="1" applyAlignment="1">
      <alignment horizontal="right"/>
    </xf>
    <xf numFmtId="0" fontId="5" fillId="0" borderId="25" xfId="0" quotePrefix="1" applyFont="1" applyBorder="1" applyAlignment="1">
      <alignment horizontal="center"/>
    </xf>
    <xf numFmtId="164" fontId="5" fillId="0" borderId="22" xfId="0" applyNumberFormat="1" applyFont="1" applyBorder="1"/>
    <xf numFmtId="2" fontId="2" fillId="0" borderId="4" xfId="0" applyNumberFormat="1" applyFont="1" applyBorder="1"/>
    <xf numFmtId="0" fontId="10" fillId="0" borderId="3" xfId="0" quotePrefix="1" applyFont="1" applyBorder="1" applyAlignment="1">
      <alignment horizontal="center"/>
    </xf>
    <xf numFmtId="0" fontId="10" fillId="0" borderId="27" xfId="0" quotePrefix="1" applyFont="1" applyBorder="1" applyAlignment="1">
      <alignment horizontal="center"/>
    </xf>
    <xf numFmtId="0" fontId="5" fillId="0" borderId="0" xfId="0" applyFont="1" applyAlignment="1">
      <alignment horizontal="center"/>
    </xf>
    <xf numFmtId="2" fontId="1" fillId="0" borderId="0" xfId="0" applyNumberFormat="1" applyFont="1" applyAlignment="1">
      <alignment horizontal="right"/>
    </xf>
    <xf numFmtId="0" fontId="1" fillId="0" borderId="12" xfId="0" applyFont="1" applyBorder="1"/>
    <xf numFmtId="2" fontId="21" fillId="0" borderId="4" xfId="0" applyNumberFormat="1" applyFont="1" applyBorder="1" applyAlignment="1">
      <alignment horizontal="center"/>
    </xf>
    <xf numFmtId="0" fontId="5" fillId="0" borderId="23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1" fillId="0" borderId="12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2" fontId="21" fillId="0" borderId="28" xfId="0" applyNumberFormat="1" applyFont="1" applyBorder="1" applyAlignment="1">
      <alignment horizontal="right"/>
    </xf>
    <xf numFmtId="2" fontId="21" fillId="0" borderId="29" xfId="0" applyNumberFormat="1" applyFont="1" applyBorder="1"/>
    <xf numFmtId="0" fontId="11" fillId="0" borderId="0" xfId="0" applyFont="1"/>
    <xf numFmtId="2" fontId="21" fillId="0" borderId="4" xfId="0" applyNumberFormat="1" applyFont="1" applyBorder="1" applyAlignment="1">
      <alignment horizontal="right"/>
    </xf>
    <xf numFmtId="2" fontId="21" fillId="0" borderId="5" xfId="0" applyNumberFormat="1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1" xfId="0" applyFont="1" applyBorder="1" applyAlignment="1">
      <alignment horizontal="center"/>
    </xf>
    <xf numFmtId="2" fontId="2" fillId="0" borderId="32" xfId="0" applyNumberFormat="1" applyFont="1" applyBorder="1"/>
    <xf numFmtId="0" fontId="3" fillId="0" borderId="33" xfId="0" applyFont="1" applyBorder="1"/>
    <xf numFmtId="2" fontId="2" fillId="0" borderId="34" xfId="0" applyNumberFormat="1" applyFont="1" applyBorder="1"/>
    <xf numFmtId="0" fontId="3" fillId="0" borderId="33" xfId="0" applyFont="1" applyBorder="1" applyAlignment="1">
      <alignment horizontal="center"/>
    </xf>
    <xf numFmtId="0" fontId="23" fillId="3" borderId="0" xfId="0" applyFont="1" applyFill="1" applyAlignment="1">
      <alignment horizontal="center"/>
    </xf>
    <xf numFmtId="2" fontId="23" fillId="3" borderId="0" xfId="0" applyNumberFormat="1" applyFont="1" applyFill="1"/>
    <xf numFmtId="0" fontId="24" fillId="0" borderId="8" xfId="0" applyFont="1" applyBorder="1" applyAlignment="1">
      <alignment horizontal="center"/>
    </xf>
    <xf numFmtId="2" fontId="25" fillId="3" borderId="0" xfId="0" applyNumberFormat="1" applyFont="1" applyFill="1"/>
    <xf numFmtId="2" fontId="23" fillId="3" borderId="34" xfId="0" applyNumberFormat="1" applyFont="1" applyFill="1" applyBorder="1"/>
    <xf numFmtId="2" fontId="2" fillId="0" borderId="35" xfId="0" applyNumberFormat="1" applyFont="1" applyBorder="1"/>
    <xf numFmtId="0" fontId="2" fillId="5" borderId="36" xfId="0" applyFont="1" applyFill="1" applyBorder="1" applyAlignment="1">
      <alignment horizontal="center"/>
    </xf>
    <xf numFmtId="2" fontId="2" fillId="5" borderId="36" xfId="0" applyNumberFormat="1" applyFont="1" applyFill="1" applyBorder="1"/>
    <xf numFmtId="0" fontId="1" fillId="0" borderId="36" xfId="0" applyFont="1" applyBorder="1"/>
    <xf numFmtId="2" fontId="2" fillId="5" borderId="37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1" fillId="0" borderId="14" xfId="0" applyFont="1" applyBorder="1"/>
    <xf numFmtId="0" fontId="26" fillId="0" borderId="0" xfId="0" applyFont="1"/>
    <xf numFmtId="0" fontId="4" fillId="0" borderId="14" xfId="0" applyFont="1" applyBorder="1"/>
    <xf numFmtId="165" fontId="1" fillId="0" borderId="5" xfId="0" applyNumberFormat="1" applyFont="1" applyBorder="1"/>
    <xf numFmtId="0" fontId="23" fillId="0" borderId="38" xfId="0" applyFont="1" applyBorder="1" applyAlignment="1">
      <alignment horizontal="center"/>
    </xf>
    <xf numFmtId="0" fontId="14" fillId="0" borderId="6" xfId="0" applyFont="1" applyBorder="1" applyAlignment="1">
      <alignment vertical="center" textRotation="90"/>
    </xf>
    <xf numFmtId="0" fontId="15" fillId="0" borderId="7" xfId="0" applyFont="1" applyBorder="1" applyAlignment="1">
      <alignment vertical="center" textRotation="90"/>
    </xf>
    <xf numFmtId="0" fontId="15" fillId="0" borderId="8" xfId="0" applyFont="1" applyBorder="1" applyAlignment="1">
      <alignment vertical="center" textRotation="90"/>
    </xf>
    <xf numFmtId="0" fontId="2" fillId="0" borderId="0" xfId="0" applyFont="1" applyAlignment="1">
      <alignment horizontal="center"/>
    </xf>
    <xf numFmtId="0" fontId="13" fillId="0" borderId="6" xfId="0" applyFont="1" applyBorder="1" applyAlignment="1">
      <alignment horizontal="center" vertical="center" textRotation="90" wrapText="1"/>
    </xf>
    <xf numFmtId="0" fontId="13" fillId="0" borderId="7" xfId="0" applyFont="1" applyBorder="1" applyAlignment="1">
      <alignment horizontal="center" vertical="center" textRotation="90" wrapText="1"/>
    </xf>
    <xf numFmtId="0" fontId="13" fillId="0" borderId="8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" fillId="0" borderId="3" xfId="0" quotePrefix="1" applyFont="1" applyBorder="1" applyAlignment="1">
      <alignment horizontal="right"/>
    </xf>
    <xf numFmtId="0" fontId="2" fillId="0" borderId="4" xfId="0" quotePrefix="1" applyFont="1" applyBorder="1" applyAlignment="1">
      <alignment horizontal="right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mruColors>
      <color rgb="FF0000FF"/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24</xdr:row>
      <xdr:rowOff>47949</xdr:rowOff>
    </xdr:from>
    <xdr:to>
      <xdr:col>0</xdr:col>
      <xdr:colOff>459105</xdr:colOff>
      <xdr:row>31</xdr:row>
      <xdr:rowOff>152089</xdr:rowOff>
    </xdr:to>
    <xdr:pic>
      <xdr:nvPicPr>
        <xdr:cNvPr id="3" name="Grafik 2" descr="C:\Users\Seyfried\AppData\Local\Microsoft\Windows\Temporary Internet Files\Content.Word\G20-jpg.jpg">
          <a:extLst>
            <a:ext uri="{FF2B5EF4-FFF2-40B4-BE49-F238E27FC236}">
              <a16:creationId xmlns:a16="http://schemas.microsoft.com/office/drawing/2014/main" id="{19EB1B92-20A1-4C72-BCE0-F0785C8C62B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5400000">
          <a:off x="-390207" y="4560576"/>
          <a:ext cx="1277620" cy="42100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30480</xdr:colOff>
      <xdr:row>60</xdr:row>
      <xdr:rowOff>55567</xdr:rowOff>
    </xdr:from>
    <xdr:ext cx="421005" cy="1277620"/>
    <xdr:pic>
      <xdr:nvPicPr>
        <xdr:cNvPr id="5" name="Grafik 4" descr="C:\Users\Seyfried\AppData\Local\Microsoft\Windows\Temporary Internet Files\Content.Word\G20-jpg.jpg">
          <a:extLst>
            <a:ext uri="{FF2B5EF4-FFF2-40B4-BE49-F238E27FC236}">
              <a16:creationId xmlns:a16="http://schemas.microsoft.com/office/drawing/2014/main" id="{FD989ECE-C074-40C1-87A1-49F3B031E2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5400000">
          <a:off x="-397827" y="10618474"/>
          <a:ext cx="1277620" cy="42100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0</xdr:colOff>
      <xdr:row>0</xdr:row>
      <xdr:rowOff>109855</xdr:rowOff>
    </xdr:from>
    <xdr:to>
      <xdr:col>0</xdr:col>
      <xdr:colOff>600710</xdr:colOff>
      <xdr:row>13</xdr:row>
      <xdr:rowOff>94615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9578C2FF-A844-4F3A-A1E0-31D6123999C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67" b="5020"/>
        <a:stretch/>
      </xdr:blipFill>
      <xdr:spPr bwMode="auto">
        <a:xfrm rot="16200000">
          <a:off x="-804545" y="914400"/>
          <a:ext cx="2209800" cy="6007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36</xdr:row>
      <xdr:rowOff>102235</xdr:rowOff>
    </xdr:from>
    <xdr:to>
      <xdr:col>0</xdr:col>
      <xdr:colOff>600710</xdr:colOff>
      <xdr:row>49</xdr:row>
      <xdr:rowOff>132715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574366E4-E98E-4965-88CA-A232FF69859E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67" b="5020"/>
        <a:stretch/>
      </xdr:blipFill>
      <xdr:spPr bwMode="auto">
        <a:xfrm rot="16200000">
          <a:off x="-804545" y="7018020"/>
          <a:ext cx="2209800" cy="6007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EA7ED-788A-480E-8108-F35FB6844401}">
  <dimension ref="A1:W72"/>
  <sheetViews>
    <sheetView tabSelected="1" zoomScaleNormal="100" workbookViewId="0">
      <selection activeCell="F10" sqref="F10"/>
    </sheetView>
  </sheetViews>
  <sheetFormatPr baseColWidth="10" defaultColWidth="8.88671875" defaultRowHeight="14.4" x14ac:dyDescent="0.3"/>
  <cols>
    <col min="2" max="14" width="8.88671875" style="1"/>
    <col min="15" max="16" width="5.77734375" style="1" customWidth="1"/>
    <col min="17" max="23" width="8.88671875" style="1"/>
  </cols>
  <sheetData>
    <row r="1" spans="1:16" s="1" customFormat="1" ht="13.2" x14ac:dyDescent="0.25">
      <c r="A1" s="62"/>
      <c r="B1" s="2" t="s">
        <v>34</v>
      </c>
    </row>
    <row r="2" spans="1:16" s="1" customFormat="1" ht="15.6" x14ac:dyDescent="0.3">
      <c r="A2" s="63"/>
      <c r="C2" s="11" t="s">
        <v>35</v>
      </c>
    </row>
    <row r="3" spans="1:16" s="1" customFormat="1" ht="13.2" x14ac:dyDescent="0.25">
      <c r="A3" s="63"/>
    </row>
    <row r="4" spans="1:16" s="1" customFormat="1" ht="14.4" customHeight="1" x14ac:dyDescent="0.25">
      <c r="A4" s="63"/>
      <c r="C4" s="2" t="s">
        <v>36</v>
      </c>
      <c r="M4" s="17" t="s">
        <v>28</v>
      </c>
      <c r="N4" s="20"/>
      <c r="O4" s="20"/>
      <c r="P4" s="64" t="s">
        <v>19</v>
      </c>
    </row>
    <row r="5" spans="1:16" s="1" customFormat="1" ht="13.2" x14ac:dyDescent="0.25">
      <c r="A5" s="63"/>
      <c r="D5" s="8" t="s">
        <v>18</v>
      </c>
      <c r="E5" s="3" t="s">
        <v>10</v>
      </c>
      <c r="F5" s="5">
        <v>5</v>
      </c>
      <c r="G5" s="1" t="s">
        <v>12</v>
      </c>
      <c r="J5" s="19" t="s">
        <v>24</v>
      </c>
      <c r="K5" s="20"/>
      <c r="L5" s="21" t="s">
        <v>26</v>
      </c>
      <c r="M5" s="32" t="s">
        <v>16</v>
      </c>
      <c r="O5" s="30" t="s">
        <v>23</v>
      </c>
      <c r="P5" s="22" t="s">
        <v>17</v>
      </c>
    </row>
    <row r="6" spans="1:16" s="1" customFormat="1" ht="13.2" x14ac:dyDescent="0.25">
      <c r="A6" s="63"/>
      <c r="E6" s="3" t="s">
        <v>11</v>
      </c>
      <c r="F6" s="5">
        <v>4</v>
      </c>
      <c r="G6" s="1" t="s">
        <v>12</v>
      </c>
      <c r="H6" s="16" t="s">
        <v>37</v>
      </c>
      <c r="J6" s="26" t="s">
        <v>25</v>
      </c>
      <c r="K6" s="23" t="s">
        <v>27</v>
      </c>
      <c r="L6" s="27" t="s">
        <v>14</v>
      </c>
      <c r="M6" s="33" t="s">
        <v>14</v>
      </c>
      <c r="N6" s="28" t="s">
        <v>15</v>
      </c>
      <c r="O6" s="52" t="s">
        <v>14</v>
      </c>
      <c r="P6" s="53" t="s">
        <v>14</v>
      </c>
    </row>
    <row r="7" spans="1:16" s="1" customFormat="1" ht="13.2" customHeight="1" x14ac:dyDescent="0.25">
      <c r="A7" s="63"/>
      <c r="E7" s="3" t="s">
        <v>38</v>
      </c>
      <c r="F7" s="5">
        <v>2.75</v>
      </c>
      <c r="G7" s="1" t="s">
        <v>12</v>
      </c>
      <c r="H7" s="44">
        <f>F5*F6*F7</f>
        <v>55</v>
      </c>
      <c r="I7" s="16" t="s">
        <v>22</v>
      </c>
      <c r="J7" s="31" t="s">
        <v>1</v>
      </c>
      <c r="K7" s="29" t="s">
        <v>7</v>
      </c>
      <c r="L7" s="37">
        <v>0.44</v>
      </c>
      <c r="M7" s="34">
        <v>0.307</v>
      </c>
      <c r="N7" s="9">
        <v>52.02</v>
      </c>
      <c r="O7" s="18">
        <v>0.3</v>
      </c>
      <c r="P7" s="65">
        <v>6.4000000000000001E-2</v>
      </c>
    </row>
    <row r="8" spans="1:16" s="1" customFormat="1" ht="13.2" customHeight="1" x14ac:dyDescent="0.25">
      <c r="A8" s="63"/>
      <c r="G8" s="3" t="s">
        <v>0</v>
      </c>
      <c r="H8" s="13" t="s">
        <v>15</v>
      </c>
      <c r="I8" s="41" t="s">
        <v>23</v>
      </c>
      <c r="J8" s="31" t="s">
        <v>2</v>
      </c>
      <c r="K8" s="29" t="s">
        <v>8</v>
      </c>
      <c r="L8" s="37">
        <v>0.25</v>
      </c>
      <c r="M8" s="34">
        <v>0.28899999999999998</v>
      </c>
      <c r="N8" s="9">
        <v>114.04</v>
      </c>
      <c r="O8" s="18">
        <v>0.47</v>
      </c>
      <c r="P8" s="66">
        <v>6.0999999999999999E-2</v>
      </c>
    </row>
    <row r="9" spans="1:16" s="1" customFormat="1" ht="13.2" customHeight="1" x14ac:dyDescent="0.25">
      <c r="A9" s="63"/>
      <c r="E9" s="3" t="s">
        <v>39</v>
      </c>
      <c r="F9" s="6" t="s">
        <v>2</v>
      </c>
      <c r="G9" s="39">
        <f>VLOOKUP(F9,J7:M13,4,0)</f>
        <v>0.28899999999999998</v>
      </c>
      <c r="H9" s="38">
        <f>VLOOKUP(F9,J7:N13,5,0)</f>
        <v>114.04</v>
      </c>
      <c r="I9" s="67">
        <f>VLOOKUP(F9,J7:O13,6,0)</f>
        <v>0.47</v>
      </c>
      <c r="J9" s="31" t="s">
        <v>3</v>
      </c>
      <c r="K9" s="29" t="s">
        <v>8</v>
      </c>
      <c r="L9" s="37">
        <v>0.25</v>
      </c>
      <c r="M9" s="34">
        <v>0.30299999999999999</v>
      </c>
      <c r="N9" s="9">
        <v>114.04</v>
      </c>
      <c r="O9" s="18">
        <v>0.28000000000000003</v>
      </c>
      <c r="P9" s="65">
        <v>6.4000000000000001E-2</v>
      </c>
    </row>
    <row r="10" spans="1:16" s="1" customFormat="1" ht="13.2" customHeight="1" x14ac:dyDescent="0.25">
      <c r="A10" s="63"/>
      <c r="I10" s="68" t="s">
        <v>40</v>
      </c>
      <c r="J10" s="31" t="s">
        <v>32</v>
      </c>
      <c r="K10" s="29" t="s">
        <v>8</v>
      </c>
      <c r="L10" s="37">
        <v>0.25</v>
      </c>
      <c r="M10" s="34">
        <v>0.44900000000000001</v>
      </c>
      <c r="N10" s="9">
        <v>102.58</v>
      </c>
      <c r="O10" s="18">
        <v>0.35299999999999998</v>
      </c>
      <c r="P10" s="65">
        <v>9.9000000000000005E-2</v>
      </c>
    </row>
    <row r="11" spans="1:16" s="1" customFormat="1" ht="13.2" customHeight="1" x14ac:dyDescent="0.25">
      <c r="A11" s="63"/>
      <c r="I11" s="69">
        <f>H7*I9</f>
        <v>25.849999999999998</v>
      </c>
      <c r="J11" s="31" t="s">
        <v>4</v>
      </c>
      <c r="K11" s="29" t="s">
        <v>7</v>
      </c>
      <c r="L11" s="37">
        <v>0.44</v>
      </c>
      <c r="M11" s="35">
        <v>0.31</v>
      </c>
      <c r="N11" s="9">
        <v>63.52</v>
      </c>
      <c r="O11" s="18">
        <v>0.36</v>
      </c>
      <c r="P11" s="65">
        <v>6.5000000000000002E-2</v>
      </c>
    </row>
    <row r="12" spans="1:16" s="1" customFormat="1" ht="13.2" customHeight="1" x14ac:dyDescent="0.25">
      <c r="A12" s="63"/>
      <c r="C12" s="2" t="s">
        <v>41</v>
      </c>
      <c r="J12" s="31" t="s">
        <v>5</v>
      </c>
      <c r="K12" s="29" t="s">
        <v>7</v>
      </c>
      <c r="L12" s="37">
        <v>0.44</v>
      </c>
      <c r="M12" s="34">
        <v>0.30299999999999999</v>
      </c>
      <c r="N12" s="9">
        <v>62.61</v>
      </c>
      <c r="O12" s="18">
        <v>0.36</v>
      </c>
      <c r="P12" s="65">
        <v>6.4000000000000001E-2</v>
      </c>
    </row>
    <row r="13" spans="1:16" s="1" customFormat="1" ht="13.2" customHeight="1" x14ac:dyDescent="0.25">
      <c r="A13" s="63"/>
      <c r="E13" s="156" t="s">
        <v>42</v>
      </c>
      <c r="F13" s="156"/>
      <c r="G13" s="156"/>
      <c r="H13" s="156"/>
      <c r="I13" s="42"/>
      <c r="J13" s="40" t="s">
        <v>6</v>
      </c>
      <c r="K13" s="23" t="s">
        <v>9</v>
      </c>
      <c r="L13" s="27">
        <v>0.52</v>
      </c>
      <c r="M13" s="36">
        <v>0.29299999999999998</v>
      </c>
      <c r="N13" s="24">
        <v>90.78</v>
      </c>
      <c r="O13" s="25">
        <v>0.46</v>
      </c>
      <c r="P13" s="70">
        <v>6.2E-2</v>
      </c>
    </row>
    <row r="14" spans="1:16" s="1" customFormat="1" ht="13.2" customHeight="1" x14ac:dyDescent="0.25">
      <c r="A14" s="15"/>
      <c r="D14" s="58"/>
      <c r="F14" s="3" t="s">
        <v>43</v>
      </c>
      <c r="G14" s="71" t="s">
        <v>44</v>
      </c>
      <c r="J14" s="72" t="s">
        <v>31</v>
      </c>
      <c r="K14" s="8"/>
      <c r="L14" s="10"/>
      <c r="M14" s="45">
        <v>3.7999999999999999E-2</v>
      </c>
      <c r="N14" s="46">
        <v>44.1</v>
      </c>
      <c r="O14" s="73">
        <v>0.09</v>
      </c>
      <c r="P14" s="74" t="s">
        <v>30</v>
      </c>
    </row>
    <row r="15" spans="1:16" s="1" customFormat="1" ht="13.2" customHeight="1" x14ac:dyDescent="0.25">
      <c r="A15" s="157" t="s">
        <v>20</v>
      </c>
      <c r="D15" s="58"/>
      <c r="G15" s="75" t="s">
        <v>45</v>
      </c>
    </row>
    <row r="16" spans="1:16" s="1" customFormat="1" ht="14.4" customHeight="1" x14ac:dyDescent="0.25">
      <c r="A16" s="158"/>
      <c r="D16" s="58"/>
      <c r="F16" s="76" t="s">
        <v>46</v>
      </c>
      <c r="G16" s="71"/>
      <c r="H16" s="77" t="s">
        <v>47</v>
      </c>
    </row>
    <row r="17" spans="1:16" s="1" customFormat="1" ht="13.2" customHeight="1" x14ac:dyDescent="0.25">
      <c r="A17" s="158"/>
      <c r="D17" s="58"/>
      <c r="F17" s="56" t="s">
        <v>48</v>
      </c>
      <c r="G17" s="71"/>
      <c r="H17" s="7"/>
      <c r="I17" s="77" t="s">
        <v>49</v>
      </c>
    </row>
    <row r="18" spans="1:16" s="1" customFormat="1" ht="13.2" customHeight="1" x14ac:dyDescent="0.25">
      <c r="A18" s="158"/>
      <c r="D18" s="58"/>
      <c r="F18" s="12" t="s">
        <v>50</v>
      </c>
      <c r="G18" s="71"/>
      <c r="H18" s="7"/>
      <c r="I18" s="7"/>
      <c r="J18" s="77" t="s">
        <v>51</v>
      </c>
    </row>
    <row r="19" spans="1:16" s="1" customFormat="1" ht="13.2" customHeight="1" x14ac:dyDescent="0.25">
      <c r="A19" s="158"/>
      <c r="E19" s="3" t="s">
        <v>52</v>
      </c>
      <c r="F19" s="60" t="s">
        <v>53</v>
      </c>
      <c r="G19" s="78" t="s">
        <v>54</v>
      </c>
      <c r="H19" s="79" t="s">
        <v>55</v>
      </c>
      <c r="I19" s="79" t="s">
        <v>56</v>
      </c>
      <c r="J19" s="79" t="s">
        <v>56</v>
      </c>
      <c r="L19" s="17"/>
      <c r="M19" s="20"/>
      <c r="N19" s="20"/>
      <c r="O19" s="20"/>
      <c r="P19" s="80" t="s">
        <v>57</v>
      </c>
    </row>
    <row r="20" spans="1:16" s="1" customFormat="1" ht="13.2" x14ac:dyDescent="0.25">
      <c r="A20" s="158"/>
      <c r="F20" s="81" t="s">
        <v>33</v>
      </c>
      <c r="G20" s="82" t="s">
        <v>58</v>
      </c>
      <c r="H20" s="83" t="s">
        <v>59</v>
      </c>
      <c r="I20" s="83" t="s">
        <v>60</v>
      </c>
      <c r="J20" s="83" t="s">
        <v>60</v>
      </c>
      <c r="L20" s="47"/>
      <c r="N20" s="84" t="str">
        <f>F9</f>
        <v>R-1234yf</v>
      </c>
      <c r="P20" s="51" t="s">
        <v>29</v>
      </c>
    </row>
    <row r="21" spans="1:16" s="1" customFormat="1" ht="13.2" x14ac:dyDescent="0.25">
      <c r="A21" s="159"/>
      <c r="D21" s="13" t="s">
        <v>61</v>
      </c>
      <c r="E21" s="13" t="s">
        <v>62</v>
      </c>
      <c r="F21" s="160" t="s">
        <v>63</v>
      </c>
      <c r="G21" s="161"/>
      <c r="H21" s="161"/>
      <c r="I21" s="161"/>
      <c r="J21" s="162"/>
      <c r="L21" s="47"/>
      <c r="M21" s="3" t="s">
        <v>64</v>
      </c>
      <c r="N21" s="10">
        <f>4*G9*1.5</f>
        <v>1.734</v>
      </c>
      <c r="O21" s="1" t="s">
        <v>65</v>
      </c>
      <c r="P21" s="54">
        <f>4*M14</f>
        <v>0.152</v>
      </c>
    </row>
    <row r="22" spans="1:16" s="1" customFormat="1" ht="13.2" x14ac:dyDescent="0.25">
      <c r="A22" s="153" t="s">
        <v>21</v>
      </c>
      <c r="D22" s="85">
        <f>F7</f>
        <v>2.75</v>
      </c>
      <c r="E22" s="86">
        <f>F5*F6</f>
        <v>20</v>
      </c>
      <c r="F22" s="87">
        <f>2.5*G9^(5/4)*D22*E22^(1/2)</f>
        <v>6.5149337503813189</v>
      </c>
      <c r="G22" s="88">
        <f>0.75*G9*D22*E22</f>
        <v>11.921249999999999</v>
      </c>
      <c r="H22" s="89">
        <f>0.25*G9*D22*E22</f>
        <v>3.9737499999999999</v>
      </c>
      <c r="I22" s="89">
        <f>0.5*G9*D22*E22</f>
        <v>7.9474999999999998</v>
      </c>
      <c r="J22" s="89">
        <f>I22</f>
        <v>7.9474999999999998</v>
      </c>
      <c r="L22" s="47"/>
      <c r="M22" s="90" t="s">
        <v>66</v>
      </c>
      <c r="N22" s="91">
        <f>13*1.5*G9</f>
        <v>5.6354999999999995</v>
      </c>
      <c r="O22" s="73" t="s">
        <v>67</v>
      </c>
      <c r="P22" s="54">
        <f>13*M14</f>
        <v>0.49399999999999999</v>
      </c>
    </row>
    <row r="23" spans="1:16" s="1" customFormat="1" ht="13.2" customHeight="1" x14ac:dyDescent="0.25">
      <c r="A23" s="154"/>
      <c r="E23" s="8" t="s">
        <v>68</v>
      </c>
      <c r="F23" s="92"/>
      <c r="G23" s="71"/>
      <c r="H23" s="93"/>
      <c r="I23" s="93"/>
      <c r="J23" s="93"/>
      <c r="L23" s="47"/>
      <c r="M23" s="3" t="s">
        <v>69</v>
      </c>
      <c r="N23" s="10">
        <f>26*G9*2</f>
        <v>15.027999999999999</v>
      </c>
      <c r="O23" s="1" t="s">
        <v>13</v>
      </c>
      <c r="P23" s="49">
        <f>26*M14</f>
        <v>0.98799999999999999</v>
      </c>
    </row>
    <row r="24" spans="1:16" s="1" customFormat="1" ht="13.2" x14ac:dyDescent="0.25">
      <c r="A24" s="154"/>
      <c r="C24" s="3"/>
      <c r="D24" s="58" t="s">
        <v>61</v>
      </c>
      <c r="E24" s="58" t="s">
        <v>62</v>
      </c>
      <c r="F24" s="163" t="s">
        <v>70</v>
      </c>
      <c r="G24" s="164"/>
      <c r="H24" s="164"/>
      <c r="I24" s="164"/>
      <c r="J24" s="94" t="str">
        <f>F9</f>
        <v>R-1234yf</v>
      </c>
      <c r="L24" s="47"/>
      <c r="M24" s="3" t="s">
        <v>71</v>
      </c>
      <c r="N24" s="10">
        <f>4*N23</f>
        <v>60.111999999999995</v>
      </c>
      <c r="O24" s="1" t="s">
        <v>13</v>
      </c>
      <c r="P24" s="49"/>
    </row>
    <row r="25" spans="1:16" s="1" customFormat="1" ht="13.2" x14ac:dyDescent="0.25">
      <c r="A25" s="154"/>
      <c r="C25" s="95" t="s">
        <v>38</v>
      </c>
      <c r="D25" s="96">
        <f>F7</f>
        <v>2.75</v>
      </c>
      <c r="E25" s="97">
        <f>F5*F6</f>
        <v>20</v>
      </c>
      <c r="F25" s="98">
        <f>IF(F22&lt;IF(I22&lt;N23,I22,N23),F22,IF(I22&lt;N23,I22,N23))</f>
        <v>6.5149337503813189</v>
      </c>
      <c r="G25" s="99">
        <f>IF((0.5*D25*E25*G9)&lt;=N23,0.5*D25*E25*G9,N23)</f>
        <v>7.9474999999999998</v>
      </c>
      <c r="H25" s="100">
        <f>IF(H22&gt;N24,N24,H22)</f>
        <v>3.9737499999999999</v>
      </c>
      <c r="I25" s="100">
        <f>IF(I22&gt;N24,N24,I22)</f>
        <v>7.9474999999999998</v>
      </c>
      <c r="J25" s="101" t="str">
        <f>IF(J22&lt;=N24,"",IF(AND(J22&gt;N24,J22&lt;=N25),J22,N25))</f>
        <v/>
      </c>
      <c r="L25" s="47"/>
      <c r="M25" s="3" t="s">
        <v>72</v>
      </c>
      <c r="N25" s="10">
        <f>130*G9*2</f>
        <v>75.14</v>
      </c>
      <c r="O25" s="1" t="s">
        <v>13</v>
      </c>
      <c r="P25" s="50">
        <f>130*M14</f>
        <v>4.9399999999999995</v>
      </c>
    </row>
    <row r="26" spans="1:16" s="1" customFormat="1" ht="13.2" customHeight="1" x14ac:dyDescent="0.25">
      <c r="A26" s="154"/>
      <c r="C26" s="3"/>
      <c r="E26" s="14" t="s">
        <v>73</v>
      </c>
      <c r="F26" s="102" t="s">
        <v>74</v>
      </c>
      <c r="G26" s="103" t="s">
        <v>74</v>
      </c>
      <c r="H26" s="104" t="s">
        <v>75</v>
      </c>
      <c r="I26" s="105" t="s">
        <v>75</v>
      </c>
      <c r="J26" s="106" t="s">
        <v>76</v>
      </c>
      <c r="L26" s="43"/>
      <c r="M26" s="107"/>
      <c r="N26" s="108" t="s">
        <v>77</v>
      </c>
      <c r="O26" s="109" t="s">
        <v>78</v>
      </c>
      <c r="P26" s="110">
        <f>13*M14</f>
        <v>0.49399999999999999</v>
      </c>
    </row>
    <row r="27" spans="1:16" s="1" customFormat="1" ht="13.2" x14ac:dyDescent="0.25">
      <c r="A27" s="154"/>
      <c r="C27" s="28"/>
      <c r="D27" s="111"/>
      <c r="E27" s="24"/>
      <c r="F27" s="112" t="s">
        <v>79</v>
      </c>
      <c r="G27" s="113" t="s">
        <v>79</v>
      </c>
      <c r="H27" s="114" t="s">
        <v>111</v>
      </c>
      <c r="I27" s="73" t="s">
        <v>45</v>
      </c>
      <c r="J27" s="55"/>
      <c r="L27" s="17"/>
      <c r="N27" s="115" t="s">
        <v>80</v>
      </c>
      <c r="O27" s="10">
        <f>N21</f>
        <v>1.734</v>
      </c>
      <c r="P27" s="116" t="s">
        <v>13</v>
      </c>
    </row>
    <row r="28" spans="1:16" s="1" customFormat="1" ht="13.2" x14ac:dyDescent="0.25">
      <c r="A28" s="154"/>
      <c r="C28" s="24"/>
      <c r="D28" s="48" t="s">
        <v>81</v>
      </c>
      <c r="E28" s="117" t="s">
        <v>29</v>
      </c>
      <c r="F28" s="117">
        <f>2.5*M14^(5/4)*F7*E25^(1/2)</f>
        <v>0.51584258971099928</v>
      </c>
      <c r="G28" s="118" t="s">
        <v>30</v>
      </c>
      <c r="H28" s="117">
        <f>IF(P23&lt;0.45*M14*E25*F7,P23,0.45*M14*E25*F7)</f>
        <v>0.94050000000000011</v>
      </c>
      <c r="I28" s="117">
        <f>IF(P25&lt;0.5*M14*E25*F7,P25,0.5*M14*E25*F7)</f>
        <v>1.0449999999999999</v>
      </c>
      <c r="J28" s="119" t="s">
        <v>30</v>
      </c>
      <c r="L28" s="47"/>
      <c r="P28" s="120" t="s">
        <v>82</v>
      </c>
    </row>
    <row r="29" spans="1:16" s="1" customFormat="1" ht="13.2" x14ac:dyDescent="0.25">
      <c r="A29" s="154"/>
      <c r="L29" s="17"/>
      <c r="M29" s="20"/>
      <c r="N29" s="121" t="s">
        <v>83</v>
      </c>
      <c r="O29" s="122" t="str">
        <f>F9</f>
        <v>R-1234yf</v>
      </c>
      <c r="P29" s="123">
        <f>4*N22/(F7*G9)</f>
        <v>28.363636363636363</v>
      </c>
    </row>
    <row r="30" spans="1:16" s="1" customFormat="1" ht="13.2" x14ac:dyDescent="0.25">
      <c r="A30" s="154"/>
      <c r="E30" s="8" t="s">
        <v>84</v>
      </c>
      <c r="F30" s="124" t="s">
        <v>85</v>
      </c>
      <c r="G30" s="10"/>
      <c r="I30" s="1" t="s">
        <v>47</v>
      </c>
      <c r="L30" s="43"/>
      <c r="M30" s="24"/>
      <c r="N30" s="48" t="s">
        <v>112</v>
      </c>
      <c r="O30" s="125" t="s">
        <v>29</v>
      </c>
      <c r="P30" s="126">
        <f>4*P22/(2.2*M14)</f>
        <v>23.636363636363633</v>
      </c>
    </row>
    <row r="31" spans="1:16" s="1" customFormat="1" ht="13.2" x14ac:dyDescent="0.25">
      <c r="A31" s="154"/>
      <c r="E31" s="10"/>
      <c r="F31" s="10" t="s">
        <v>86</v>
      </c>
      <c r="G31" s="10"/>
      <c r="I31" s="1" t="s">
        <v>51</v>
      </c>
    </row>
    <row r="32" spans="1:16" s="1" customFormat="1" ht="13.8" thickBot="1" x14ac:dyDescent="0.3">
      <c r="A32" s="154"/>
      <c r="C32" s="58"/>
      <c r="M32" s="10"/>
      <c r="N32" s="10"/>
      <c r="P32" s="4"/>
    </row>
    <row r="33" spans="1:16" s="1" customFormat="1" ht="13.2" x14ac:dyDescent="0.25">
      <c r="A33" s="154"/>
      <c r="D33" s="127" t="s">
        <v>87</v>
      </c>
      <c r="E33" s="128"/>
      <c r="F33" s="128"/>
      <c r="G33" s="128"/>
      <c r="H33" s="128"/>
      <c r="I33" s="128"/>
      <c r="J33" s="128"/>
      <c r="K33" s="129"/>
      <c r="L33" s="130"/>
      <c r="M33" s="10"/>
      <c r="N33" s="10"/>
      <c r="P33" s="4"/>
    </row>
    <row r="34" spans="1:16" s="1" customFormat="1" ht="13.2" x14ac:dyDescent="0.25">
      <c r="A34" s="154"/>
      <c r="D34" s="131" t="s">
        <v>88</v>
      </c>
      <c r="F34" s="2" t="s">
        <v>89</v>
      </c>
      <c r="H34" s="41" t="s">
        <v>90</v>
      </c>
      <c r="I34" s="3"/>
      <c r="J34" s="41" t="s">
        <v>91</v>
      </c>
      <c r="K34" s="58"/>
      <c r="L34" s="132"/>
      <c r="N34" s="10"/>
      <c r="P34" s="4"/>
    </row>
    <row r="35" spans="1:16" s="1" customFormat="1" ht="13.2" x14ac:dyDescent="0.25">
      <c r="A35" s="154"/>
      <c r="D35" s="133">
        <f>VLOOKUP(F9,J7:L13,3,0)</f>
        <v>0.25</v>
      </c>
      <c r="E35" s="134" t="str">
        <f>VLOOKUP(F9,J7:K13,2,0)</f>
        <v>R-134a</v>
      </c>
      <c r="F35" s="135">
        <f>H7*D35</f>
        <v>13.75</v>
      </c>
      <c r="G35" s="10"/>
      <c r="H35" s="57">
        <f>VLOOKUP(F9,E50:G56,3,0)</f>
        <v>0.89770000000000005</v>
      </c>
      <c r="I35" s="135">
        <f>F35*H35</f>
        <v>12.343375</v>
      </c>
      <c r="J35" s="136">
        <f>VLOOKUP(F9,E50:H56,4,0)</f>
        <v>0.75</v>
      </c>
      <c r="K35" s="137">
        <f>I35*J35</f>
        <v>9.2575312499999995</v>
      </c>
      <c r="L35" s="138" t="str">
        <f>E35</f>
        <v>R-134a</v>
      </c>
      <c r="N35" s="10"/>
      <c r="P35" s="4"/>
    </row>
    <row r="36" spans="1:16" s="1" customFormat="1" ht="13.8" thickBot="1" x14ac:dyDescent="0.3">
      <c r="A36" s="155"/>
      <c r="C36" s="58"/>
      <c r="D36" s="139"/>
      <c r="E36" s="140" t="str">
        <f>F9</f>
        <v>R-1234yf</v>
      </c>
      <c r="F36" s="141">
        <f>MAX(F25:J25)</f>
        <v>7.9474999999999998</v>
      </c>
      <c r="G36" s="142"/>
      <c r="H36" s="142"/>
      <c r="I36" s="142"/>
      <c r="J36" s="142"/>
      <c r="K36" s="141">
        <f>F36</f>
        <v>7.9474999999999998</v>
      </c>
      <c r="L36" s="143" t="str">
        <f>F9</f>
        <v>R-1234yf</v>
      </c>
      <c r="M36" s="10"/>
      <c r="N36" s="10"/>
      <c r="P36" s="4"/>
    </row>
    <row r="37" spans="1:16" s="1" customFormat="1" ht="13.2" x14ac:dyDescent="0.25">
      <c r="A37" s="62"/>
      <c r="I37" s="3"/>
      <c r="K37" s="58"/>
      <c r="L37" s="10"/>
      <c r="M37" s="10"/>
      <c r="N37" s="10"/>
      <c r="P37" s="4"/>
    </row>
    <row r="38" spans="1:16" s="1" customFormat="1" ht="13.2" x14ac:dyDescent="0.25">
      <c r="A38" s="63"/>
      <c r="I38" s="3"/>
      <c r="K38" s="58"/>
      <c r="L38" s="10"/>
      <c r="M38" s="10"/>
      <c r="N38" s="10"/>
      <c r="P38" s="4"/>
    </row>
    <row r="39" spans="1:16" s="1" customFormat="1" ht="13.2" x14ac:dyDescent="0.25">
      <c r="A39" s="63"/>
      <c r="D39" s="10"/>
      <c r="E39" s="4" t="s">
        <v>92</v>
      </c>
      <c r="K39" s="58"/>
      <c r="L39" s="10"/>
      <c r="M39" s="10"/>
      <c r="N39" s="10"/>
      <c r="P39" s="4"/>
    </row>
    <row r="40" spans="1:16" s="1" customFormat="1" ht="13.2" x14ac:dyDescent="0.25">
      <c r="A40" s="63"/>
      <c r="C40" s="58"/>
      <c r="D40" s="10"/>
      <c r="F40" s="3" t="s">
        <v>47</v>
      </c>
      <c r="G40" s="10" t="s">
        <v>93</v>
      </c>
      <c r="H40" s="144"/>
      <c r="K40" s="58"/>
      <c r="L40" s="10"/>
      <c r="M40" s="10"/>
      <c r="N40" s="10"/>
      <c r="P40" s="4"/>
    </row>
    <row r="41" spans="1:16" s="1" customFormat="1" ht="13.2" x14ac:dyDescent="0.25">
      <c r="A41" s="63"/>
      <c r="C41" s="58"/>
      <c r="D41" s="10"/>
      <c r="F41" s="3" t="s">
        <v>94</v>
      </c>
      <c r="G41" s="2" t="s">
        <v>95</v>
      </c>
      <c r="H41" s="144"/>
      <c r="K41" s="58"/>
      <c r="L41" s="10"/>
      <c r="M41" s="10"/>
      <c r="N41" s="10"/>
      <c r="P41" s="4"/>
    </row>
    <row r="42" spans="1:16" s="1" customFormat="1" ht="13.2" x14ac:dyDescent="0.25">
      <c r="A42" s="63"/>
      <c r="C42" s="58"/>
      <c r="D42" s="10"/>
      <c r="E42" s="10"/>
      <c r="F42" s="10"/>
      <c r="G42" s="145" t="s">
        <v>96</v>
      </c>
      <c r="H42" s="1" t="s">
        <v>97</v>
      </c>
      <c r="K42" s="58"/>
      <c r="L42" s="10"/>
      <c r="M42" s="10"/>
      <c r="N42" s="10"/>
      <c r="P42" s="4"/>
    </row>
    <row r="43" spans="1:16" s="1" customFormat="1" ht="13.2" x14ac:dyDescent="0.25">
      <c r="A43" s="63"/>
      <c r="C43" s="58"/>
      <c r="D43" s="10"/>
      <c r="E43" s="10"/>
      <c r="F43" s="10"/>
      <c r="G43" s="145" t="s">
        <v>98</v>
      </c>
      <c r="H43" s="1" t="s">
        <v>99</v>
      </c>
    </row>
    <row r="44" spans="1:16" s="1" customFormat="1" ht="13.2" x14ac:dyDescent="0.25">
      <c r="A44" s="63"/>
      <c r="E44" s="10"/>
      <c r="F44" s="10"/>
      <c r="G44" s="145" t="s">
        <v>100</v>
      </c>
      <c r="H44" s="1" t="s">
        <v>101</v>
      </c>
    </row>
    <row r="45" spans="1:16" s="1" customFormat="1" ht="13.2" x14ac:dyDescent="0.25">
      <c r="A45" s="63"/>
    </row>
    <row r="46" spans="1:16" s="1" customFormat="1" ht="13.2" x14ac:dyDescent="0.25">
      <c r="A46" s="63"/>
      <c r="B46" s="1" t="s">
        <v>102</v>
      </c>
    </row>
    <row r="47" spans="1:16" s="1" customFormat="1" ht="13.2" x14ac:dyDescent="0.25">
      <c r="A47" s="63"/>
      <c r="C47" s="1" t="s">
        <v>103</v>
      </c>
    </row>
    <row r="48" spans="1:16" s="1" customFormat="1" ht="13.2" x14ac:dyDescent="0.25">
      <c r="A48" s="63"/>
      <c r="E48" s="19" t="s">
        <v>24</v>
      </c>
      <c r="F48" s="20"/>
      <c r="G48" s="55" t="s">
        <v>104</v>
      </c>
    </row>
    <row r="49" spans="1:8" s="1" customFormat="1" ht="13.2" x14ac:dyDescent="0.25">
      <c r="A49" s="63"/>
      <c r="E49" s="26" t="s">
        <v>25</v>
      </c>
      <c r="F49" s="146" t="s">
        <v>27</v>
      </c>
      <c r="G49" s="59" t="s">
        <v>105</v>
      </c>
      <c r="H49" s="1" t="s">
        <v>106</v>
      </c>
    </row>
    <row r="50" spans="1:8" s="1" customFormat="1" ht="13.2" x14ac:dyDescent="0.25">
      <c r="A50" s="15"/>
      <c r="E50" s="31" t="s">
        <v>1</v>
      </c>
      <c r="F50" s="147" t="s">
        <v>7</v>
      </c>
      <c r="G50" s="148">
        <v>0.92210000000000003</v>
      </c>
      <c r="H50" s="149">
        <v>0.9</v>
      </c>
    </row>
    <row r="51" spans="1:8" s="1" customFormat="1" ht="13.2" x14ac:dyDescent="0.25">
      <c r="A51" s="157" t="s">
        <v>20</v>
      </c>
      <c r="E51" s="31" t="s">
        <v>2</v>
      </c>
      <c r="F51" s="147" t="s">
        <v>8</v>
      </c>
      <c r="G51" s="148">
        <v>0.89770000000000005</v>
      </c>
      <c r="H51" s="149">
        <v>0.75</v>
      </c>
    </row>
    <row r="52" spans="1:8" s="1" customFormat="1" ht="13.2" x14ac:dyDescent="0.25">
      <c r="A52" s="158"/>
      <c r="E52" s="31" t="s">
        <v>3</v>
      </c>
      <c r="F52" s="147" t="s">
        <v>8</v>
      </c>
      <c r="G52" s="148">
        <v>0.96619999999999995</v>
      </c>
      <c r="H52" s="149">
        <v>0.75</v>
      </c>
    </row>
    <row r="53" spans="1:8" s="1" customFormat="1" ht="13.2" x14ac:dyDescent="0.25">
      <c r="A53" s="158"/>
      <c r="E53" s="31" t="s">
        <v>32</v>
      </c>
      <c r="F53" s="147" t="s">
        <v>8</v>
      </c>
      <c r="G53" s="150">
        <v>0.99429999999999996</v>
      </c>
      <c r="H53" s="149">
        <v>0.75</v>
      </c>
    </row>
    <row r="54" spans="1:8" s="1" customFormat="1" ht="13.2" x14ac:dyDescent="0.25">
      <c r="A54" s="158"/>
      <c r="E54" s="31" t="s">
        <v>4</v>
      </c>
      <c r="F54" s="147" t="s">
        <v>7</v>
      </c>
      <c r="G54" s="148">
        <v>0.94469999999999998</v>
      </c>
      <c r="H54" s="149">
        <v>0.9</v>
      </c>
    </row>
    <row r="55" spans="1:8" s="1" customFormat="1" ht="13.2" x14ac:dyDescent="0.25">
      <c r="A55" s="158"/>
      <c r="E55" s="31" t="s">
        <v>5</v>
      </c>
      <c r="F55" s="147" t="s">
        <v>7</v>
      </c>
      <c r="G55" s="148">
        <v>0.93689999999999996</v>
      </c>
      <c r="H55" s="149">
        <v>0.9</v>
      </c>
    </row>
    <row r="56" spans="1:8" s="1" customFormat="1" ht="13.2" x14ac:dyDescent="0.25">
      <c r="A56" s="158"/>
      <c r="E56" s="61" t="s">
        <v>6</v>
      </c>
      <c r="F56" s="146" t="s">
        <v>9</v>
      </c>
      <c r="G56" s="151">
        <v>0.96220000000000006</v>
      </c>
      <c r="H56" s="149">
        <v>0.75</v>
      </c>
    </row>
    <row r="57" spans="1:8" s="1" customFormat="1" ht="13.2" x14ac:dyDescent="0.25">
      <c r="A57" s="159"/>
    </row>
    <row r="58" spans="1:8" s="1" customFormat="1" ht="13.2" x14ac:dyDescent="0.25">
      <c r="A58" s="153" t="s">
        <v>21</v>
      </c>
      <c r="E58" s="19" t="s">
        <v>107</v>
      </c>
      <c r="F58" s="20"/>
      <c r="G58" s="55" t="s">
        <v>108</v>
      </c>
    </row>
    <row r="59" spans="1:8" s="1" customFormat="1" ht="13.2" x14ac:dyDescent="0.25">
      <c r="A59" s="154"/>
      <c r="E59" s="26" t="s">
        <v>25</v>
      </c>
      <c r="F59" s="146" t="s">
        <v>27</v>
      </c>
      <c r="G59" s="59" t="s">
        <v>105</v>
      </c>
      <c r="H59" s="1" t="s">
        <v>106</v>
      </c>
    </row>
    <row r="60" spans="1:8" s="1" customFormat="1" ht="13.2" x14ac:dyDescent="0.25">
      <c r="A60" s="154"/>
      <c r="E60" s="31" t="s">
        <v>109</v>
      </c>
      <c r="F60" s="147" t="s">
        <v>9</v>
      </c>
      <c r="G60" s="148">
        <v>1.0714999999999999</v>
      </c>
      <c r="H60" s="149">
        <v>0.75</v>
      </c>
    </row>
    <row r="61" spans="1:8" s="1" customFormat="1" ht="13.2" x14ac:dyDescent="0.25">
      <c r="A61" s="154"/>
      <c r="E61" s="40" t="s">
        <v>110</v>
      </c>
      <c r="F61" s="152" t="s">
        <v>8</v>
      </c>
      <c r="G61" s="151">
        <v>0.96560000000000001</v>
      </c>
      <c r="H61" s="149">
        <v>0.75</v>
      </c>
    </row>
    <row r="62" spans="1:8" s="1" customFormat="1" ht="13.2" x14ac:dyDescent="0.25">
      <c r="A62" s="154"/>
    </row>
    <row r="63" spans="1:8" s="1" customFormat="1" ht="13.2" x14ac:dyDescent="0.25">
      <c r="A63" s="154"/>
    </row>
    <row r="64" spans="1:8" s="1" customFormat="1" ht="13.2" x14ac:dyDescent="0.25">
      <c r="A64" s="154"/>
    </row>
    <row r="65" spans="1:1" s="1" customFormat="1" ht="13.2" x14ac:dyDescent="0.25">
      <c r="A65" s="154"/>
    </row>
    <row r="66" spans="1:1" s="1" customFormat="1" ht="13.2" x14ac:dyDescent="0.25">
      <c r="A66" s="154"/>
    </row>
    <row r="67" spans="1:1" s="1" customFormat="1" ht="13.2" x14ac:dyDescent="0.25">
      <c r="A67" s="154"/>
    </row>
    <row r="68" spans="1:1" s="1" customFormat="1" ht="13.2" x14ac:dyDescent="0.25">
      <c r="A68" s="154"/>
    </row>
    <row r="69" spans="1:1" s="1" customFormat="1" ht="13.2" x14ac:dyDescent="0.25">
      <c r="A69" s="154"/>
    </row>
    <row r="70" spans="1:1" ht="13.2" customHeight="1" x14ac:dyDescent="0.3">
      <c r="A70" s="154"/>
    </row>
    <row r="71" spans="1:1" ht="13.2" customHeight="1" x14ac:dyDescent="0.3">
      <c r="A71" s="154"/>
    </row>
    <row r="72" spans="1:1" ht="13.2" customHeight="1" x14ac:dyDescent="0.3">
      <c r="A72" s="155"/>
    </row>
  </sheetData>
  <sheetProtection password="CCB2" sheet="1" objects="1" scenarios="1"/>
  <mergeCells count="7">
    <mergeCell ref="A58:A72"/>
    <mergeCell ref="E13:H13"/>
    <mergeCell ref="A15:A21"/>
    <mergeCell ref="F21:J21"/>
    <mergeCell ref="A22:A36"/>
    <mergeCell ref="F24:I24"/>
    <mergeCell ref="A51:A57"/>
  </mergeCells>
  <dataValidations count="1">
    <dataValidation type="list" allowBlank="1" showInputMessage="1" showErrorMessage="1" prompt="Wähle aus der Liste :" sqref="F9" xr:uid="{E529AA3A-BA0C-4D47-9E97-D9223319794B}">
      <formula1>$J$7:$J$13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horizontalDpi="0" verticalDpi="0" r:id="rId1"/>
  <headerFooter>
    <oddHeader>&amp;L&amp;"Times New Roman,Standard"&amp;8Erstellt 21.10.2017, geändert 19.04.2019&amp;C&amp;"Times New Roman,Fett"&amp;8&amp;A&amp;R&amp;"Times New Roman,Standard"&amp;8Seite &amp;P von &amp;N</oddHeader>
    <oddFooter>&amp;L&amp;"Times New Roman,Fett"&amp;8Innung KK + ÖKKV&amp;C&amp;"Times New Roman,Standard"&amp;8Seyfried&amp;R&amp;"Times New Roman,Standard"&amp;8Druck &amp;D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Info Nr. 46f-1, A2L max. KM-kg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2020-12-06T06:32:28Z</dcterms:modified>
</cp:coreProperties>
</file>